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00_Аналоги" sheetId="1" r:id="rId1"/>
    <sheet name="01_ТТТ" sheetId="2" r:id="rId5"/>
    <sheet name="02_Таблица_1_2" sheetId="3" r:id="rId6"/>
    <sheet name="02_Параметры" sheetId="4" r:id="rId7"/>
    <sheet name="03_Дальность" sheetId="5" r:id="rId8"/>
    <sheet name="04_Диаграмма" sheetId="6" r:id="rId9"/>
    <sheet name="05_Аэродинамика" sheetId="7" r:id="rId10"/>
    <sheet name="06_Масса_I" sheetId="8" r:id="rId11"/>
    <sheet name="07_p0_P0" sheetId="9" r:id="rId12"/>
    <sheet name="08_Масса_II" sheetId="10" r:id="rId13"/>
    <sheet name="90_Источники" sheetId="11" r:id="rId14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<sst xmlns="http://schemas.openxmlformats.org/spreadsheetml/2006/main" count="2495" uniqueCount="1449">
  <si>
    <t>Таблица 0.1 — Сравнение самолётов-аналогов</t>
  </si>
  <si>
    <t>Характеристика</t>
  </si>
  <si>
    <t>Ед.</t>
  </si>
  <si>
    <t>Bombardier CRJ900 (CL-600-2D24)</t>
  </si>
  <si>
    <t>Fokker 70</t>
  </si>
  <si>
    <t>Отличие второго от первого, %</t>
  </si>
  <si>
    <t>Основание</t>
  </si>
  <si>
    <t>Максимальная пассажировместимость выбранной конфигурации</t>
  </si>
  <si>
    <t>чел.</t>
  </si>
  <si>
    <t>исходные данные каталога</t>
  </si>
  <si>
    <t>Дальность с максимальным числом пассажиров выбранной конфигурации</t>
  </si>
  <si>
    <t>км</t>
  </si>
  <si>
    <t>опубликованная или считанная с графика дальность для пассажирской загрузки</t>
  </si>
  <si>
    <t>Максимальная взлётная масса</t>
  </si>
  <si>
    <t>кг</t>
  </si>
  <si>
    <t>максимальная взлётная масса выбранных вариантов</t>
  </si>
  <si>
    <t>Год первого полёта рассматриваемого варианта</t>
  </si>
  <si>
    <t>год</t>
  </si>
  <si>
    <t>подтверждённый источником год первого полёта</t>
  </si>
  <si>
    <t>Примечание</t>
  </si>
  <si>
    <t>Для Fokker 70 дальность около 3334 км считана с диаграммы «коммерческая нагрузка — дальность» для 79 пассажиров при расчётной массе 97 кг на пассажира; неподтверждённые характеристики не заполняются предположительными значениями.</t>
  </si>
  <si>
    <t>Таблица 1.1 — Требования к проектируемому самолёту</t>
  </si>
  <si>
    <t>Обозначение</t>
  </si>
  <si>
    <t>Значение / формула Excel</t>
  </si>
  <si>
    <t>Внутренняя проверка</t>
  </si>
  <si>
    <t>Источник / статус</t>
  </si>
  <si>
    <t>Максимальная коммерческая нагрузка</t>
  </si>
  <si>
    <t>m_кн^MAX</t>
  </si>
  <si>
    <t>руководство Bombardier</t>
  </si>
  <si>
    <t>Максимальное число пассажиров</t>
  </si>
  <si>
    <t>n_пас^MAX</t>
  </si>
  <si>
    <t>Масса служебной нагрузки</t>
  </si>
  <si>
    <t>m_сл</t>
  </si>
  <si>
    <t>расчёт (1.2)–(1.4)</t>
  </si>
  <si>
    <t>Число членов лётного экипажа</t>
  </si>
  <si>
    <t>n_лет.эк</t>
  </si>
  <si>
    <t>Дальность с максимальной коммерческой нагрузкой</t>
  </si>
  <si>
    <t>L_MAX кн</t>
  </si>
  <si>
    <t>Диаграмма Bombardier «коммерческая нагрузка — дальность», рисунок 2; ≈2408 км, графическое считывание ±93 км</t>
  </si>
  <si>
    <t>Высота крейсерского полёта</t>
  </si>
  <si>
    <t>H_кр</t>
  </si>
  <si>
    <t>м</t>
  </si>
  <si>
    <t>Расчётная высота перехода по МСА для режима 250 узлов приборной скорости / M=0,70; Bombardier не задаёт одну фиксированную крейсерскую высоту</t>
  </si>
  <si>
    <t>Крейсерская скорость для расчёта ESAR</t>
  </si>
  <si>
    <t>V_кр</t>
  </si>
  <si>
    <t>км/ч</t>
  </si>
  <si>
    <t>M_кр=0,70 по диаграмме Bombardier; истинная скорость рассчитана по МСА на принятой высоте H_кр</t>
  </si>
  <si>
    <t>Длина разбега при максимальной взлётной массе</t>
  </si>
  <si>
    <t>l_разб</t>
  </si>
  <si>
    <t>Требует уточнения: опубликованная длина взлётной дистанции не подменяет длину разбега</t>
  </si>
  <si>
    <t>Минимальная скорость захода на посадку</t>
  </si>
  <si>
    <t>V_з.п</t>
  </si>
  <si>
    <t>Bombardier V_REF при максимальной посадочной массе, закрылках 45° и выпущенных предкрылках; принято как V_з.п для (4.2)</t>
  </si>
  <si>
    <t>Расчёт служебной нагрузки</t>
  </si>
  <si>
    <t>Формула</t>
  </si>
  <si>
    <t>Формула пособия</t>
  </si>
  <si>
    <t>Масса экипажа</t>
  </si>
  <si>
    <t>m_эк</t>
  </si>
  <si>
    <t>(1.2)</t>
  </si>
  <si>
    <t>Масса части служебной нагрузки для обеспечения полёта</t>
  </si>
  <si>
    <t>m_нагр.для пол.</t>
  </si>
  <si>
    <t>(1.3)</t>
  </si>
  <si>
    <t>(1.4)</t>
  </si>
  <si>
    <t>Таблица 1.2 — Параметры и характеристики самолёта, определяемые в процессе концептуального проектирования</t>
  </si>
  <si>
    <t>Представление таблицы Журавлёва для проверки преподавателем. В колонках аналогов расчёт допускается только для p₀ и P̄₀; остальные значения являются исходными данными из источников либо явно помечены как не найденные. Проектная колонка ссылается на расчётные листы книги.</t>
  </si>
  <si>
    <t>Параметр</t>
  </si>
  <si>
    <t>Условное обозначение</t>
  </si>
  <si>
    <t>1-й аналог: Bombardier CRJ900 (CL-600-2D24) / источник</t>
  </si>
  <si>
    <t>2-й аналог: Fokker 70 / источник</t>
  </si>
  <si>
    <t>Статистика и рекомендации / источник</t>
  </si>
  <si>
    <t>Проектное значение</t>
  </si>
  <si>
    <t>Формула / источник</t>
  </si>
  <si>
    <t>Основные параметры самолёта</t>
  </si>
  <si>
    <t>Удельная нагрузка на крыло, кг/м²</t>
  </si>
  <si>
    <t>p₀</t>
  </si>
  <si>
    <t>по (4.1) выбирается минимум ограничений</t>
  </si>
  <si>
    <t xml:space="preserve">C: m_взл.max/S; [5]; 02_Параметры!C9
D: m_взл.max/S; 2-й аналог; 02_Параметры!D9
F: кг/м²; (4.1); 07_p0_P0!C62</t>
  </si>
  <si>
    <t>Удельная нагрузка на крыло из условия посадки</t>
  </si>
  <si>
    <t>p₀′</t>
  </si>
  <si>
    <t>—</t>
  </si>
  <si>
    <t>C_y max,пос по табл. 2.6 [1]</t>
  </si>
  <si>
    <t>F: кг/м²; (4.2); 07_p0_P0!C59</t>
  </si>
  <si>
    <t>Удельная нагрузка на крыло из условия крейсерского режима</t>
  </si>
  <si>
    <t>p₀′′</t>
  </si>
  <si>
    <t>крейсерское ограничение (4.3)</t>
  </si>
  <si>
    <t>F: кг/м²; (4.3); 07_p0_P0!C21</t>
  </si>
  <si>
    <t>Тяговооружённость самолёта</t>
  </si>
  <si>
    <t>P̄₀</t>
  </si>
  <si>
    <t>для пассажирского самолёта рабочим является условие набора высоты при одном отказавшем двигателе; полный максимум — (4.9)</t>
  </si>
  <si>
    <t xml:space="preserve">C: P/(mg); [5],[8]; 02_Параметры!C10
D: P/(mg); 2-й аналог; 02_Параметры!D10
F: выбранная ветвь; 07_p0_P0!C100</t>
  </si>
  <si>
    <t>Тяговооружённость из условия набора при одном отказавшем двигателе</t>
  </si>
  <si>
    <t>P̄₀′</t>
  </si>
  <si>
    <t>обычно определяющее для пассажирского самолёта [1]</t>
  </si>
  <si>
    <t>F: (4.11); 07_p0_P0!C40</t>
  </si>
  <si>
    <t>Тяговооружённость из условия крейсерского полёта</t>
  </si>
  <si>
    <t>P̄₀′′</t>
  </si>
  <si>
    <t>φ_руд=0,7…0,9 [1]</t>
  </si>
  <si>
    <t>F: консервативная граница (4.13); диапазон C25:C26; 07_p0_P0!C90</t>
  </si>
  <si>
    <t>Тяговооружённость из условия разбега при взлёте</t>
  </si>
  <si>
    <t>P̄₀′′′</t>
  </si>
  <si>
    <t>определяется по (4.16)</t>
  </si>
  <si>
    <t>не определено</t>
  </si>
  <si>
    <t>Геометрические параметры</t>
  </si>
  <si>
    <t>Площадь крыла, м²</t>
  </si>
  <si>
    <t>S_кр</t>
  </si>
  <si>
    <t xml:space="preserve">71,07
1-й аналог: исходные данные из источника</t>
  </si>
  <si>
    <t xml:space="preserve">93,5
2-й аналог: исходные данные из источника</t>
  </si>
  <si>
    <t>определяется после выбора p₀</t>
  </si>
  <si>
    <t>F: м²; (4.17); 07_p0_P0!C88</t>
  </si>
  <si>
    <t>Размах крыла, м</t>
  </si>
  <si>
    <t>l</t>
  </si>
  <si>
    <t xml:space="preserve">24,85
1-й аналог: расчётный размах √(λS); габаритный размах хранится отдельно</t>
  </si>
  <si>
    <t xml:space="preserve">28,08
2-й аналог: исходные данные из источника</t>
  </si>
  <si>
    <t>уточняется</t>
  </si>
  <si>
    <t>этап 2</t>
  </si>
  <si>
    <t>Удлинение крыла</t>
  </si>
  <si>
    <t>λ</t>
  </si>
  <si>
    <t xml:space="preserve">8,69
1-й аналог: λ, вычисленное по исходным данным</t>
  </si>
  <si>
    <t>не найдено как готовая величина в выбранных источниках 2-го аналога</t>
  </si>
  <si>
    <t>Эффективное удлинение крыла</t>
  </si>
  <si>
    <t>λ_эф</t>
  </si>
  <si>
    <t>Сужение крыла в плане</t>
  </si>
  <si>
    <t>η</t>
  </si>
  <si>
    <t xml:space="preserve">2,566
c_r/c_t по подтверждённым источниками хордам первого аналога</t>
  </si>
  <si>
    <t>не найдено</t>
  </si>
  <si>
    <t>по [1] определяется по данным первого аналога</t>
  </si>
  <si>
    <t>F: рабочее c_r/c_t; 08_Масса_II!C51</t>
  </si>
  <si>
    <t>Стреловидность по 1/4 хорд, град.</t>
  </si>
  <si>
    <t>χ₁/₄</t>
  </si>
  <si>
    <t xml:space="preserve">28,0
1-й аналог: χ₁/₄, определённое по исходному чертежу</t>
  </si>
  <si>
    <t>по [1] χ₁/₄ определяется по данным первого аналога</t>
  </si>
  <si>
    <t xml:space="preserve">28,0
принято для (2.15), (2.20), (5.2)</t>
  </si>
  <si>
    <t>Стреловидность по передней кромке, град.</t>
  </si>
  <si>
    <t>χ_пк кр</t>
  </si>
  <si>
    <t>Относительная толщина у корня / на конце, %</t>
  </si>
  <si>
    <t>c̄₀ / c̄_кон</t>
  </si>
  <si>
    <t>Средняя относительная толщина крыла, %</t>
  </si>
  <si>
    <t>c̄_ср</t>
  </si>
  <si>
    <t>Отношение относительных толщин корня и конца</t>
  </si>
  <si>
    <t>μ=c̄₀/c̄_кон</t>
  </si>
  <si>
    <t>Диаметр фюзеляжа, м</t>
  </si>
  <si>
    <t>d_ф</t>
  </si>
  <si>
    <t xml:space="preserve">2,69
1-й аналог: максимальный диаметр по источнику</t>
  </si>
  <si>
    <t xml:space="preserve">3,3
2-й аналог: исходные данные из источника</t>
  </si>
  <si>
    <t>для круглого сечения используется опубликованный диаметр; отдельная реконструкция не требуется</t>
  </si>
  <si>
    <t>Удлинение фюзеляжа</t>
  </si>
  <si>
    <t>λ_ф</t>
  </si>
  <si>
    <t>не найдено как готовая величина</t>
  </si>
  <si>
    <t>Площадь миделя фюзеляжа, м²</t>
  </si>
  <si>
    <t>S_м.ф</t>
  </si>
  <si>
    <t>Суммарная площадь оперения, м²</t>
  </si>
  <si>
    <t>S_оп</t>
  </si>
  <si>
    <t>не найдено как готовая величина; источник первого аналога даёт ГО и ВО отдельно</t>
  </si>
  <si>
    <t>Сумма площадей миделевых сечений гондол, м²</t>
  </si>
  <si>
    <t>S_г.д</t>
  </si>
  <si>
    <t>рабочая производная оценка по подтверждённой источниками геометрии гондол первого аналога: 3,6 м²</t>
  </si>
  <si>
    <t xml:space="preserve">3,6
рабочая оценка для (2.15)</t>
  </si>
  <si>
    <t>Массовые характеристики</t>
  </si>
  <si>
    <t>Максимальная взлётная масса самолёта-аналога, кг</t>
  </si>
  <si>
    <t>m_взл^MAX</t>
  </si>
  <si>
    <t xml:space="preserve">38329,0
[5], с. 23</t>
  </si>
  <si>
    <t xml:space="preserve">41730,0
2-й аналог: исходные данные из источника</t>
  </si>
  <si>
    <t>Рассчитанная взлётная масса в первом приближении, кг</t>
  </si>
  <si>
    <t>m₀¹</t>
  </si>
  <si>
    <t>F: кг; (3.1); 06_Масса_I!C47</t>
  </si>
  <si>
    <t>Рассчитанная взлётная масса во втором приближении, кг</t>
  </si>
  <si>
    <t>m₀²</t>
  </si>
  <si>
    <t>F: кг; (5.15); 08_Масса_II!C173</t>
  </si>
  <si>
    <t>Рассчитанная взлётная масса в третьем и последующих приближениях, кг</t>
  </si>
  <si>
    <t>m₀³,…</t>
  </si>
  <si>
    <t>F: принятая сошедшаяся итерация по (5.15)–(5.16); 08_Масса_II!C195</t>
  </si>
  <si>
    <t>Максимальная посадочная масса, кг</t>
  </si>
  <si>
    <t>m_пос^MAX</t>
  </si>
  <si>
    <t xml:space="preserve">33340,0
[5], с. 23</t>
  </si>
  <si>
    <t xml:space="preserve">36740,0
2-й аналог: исходные данные из источника</t>
  </si>
  <si>
    <t>этап 3</t>
  </si>
  <si>
    <t>Максимальная масса без топлива, кг</t>
  </si>
  <si>
    <t>m_б.т^MAX</t>
  </si>
  <si>
    <t xml:space="preserve">31751,0
[5], с. 23</t>
  </si>
  <si>
    <t xml:space="preserve">33565,0
2-й аналог: исходные данные из источника</t>
  </si>
  <si>
    <t>Масса пустого снаряжённого самолёта, кг</t>
  </si>
  <si>
    <t>m_пуст.снар</t>
  </si>
  <si>
    <t xml:space="preserve">21772,0
1-й аналог: исходные данные из источника</t>
  </si>
  <si>
    <t xml:space="preserve">22780,0
2-й аналог: исходные данные из источника</t>
  </si>
  <si>
    <t>F: кг; (1.5), итог принятой весовой итерации; 08_Масса_II!C205</t>
  </si>
  <si>
    <t>Максимальная коммерческая нагрузка, кг</t>
  </si>
  <si>
    <t xml:space="preserve">9979,0
1-й аналог: исходные данные из источника</t>
  </si>
  <si>
    <t xml:space="preserve">10780,0
2-й аналог: исходные данные из источника</t>
  </si>
  <si>
    <t>Вместимость топливных баков</t>
  </si>
  <si>
    <t>m_топ.в бак^MAX</t>
  </si>
  <si>
    <t xml:space="preserve">10989,0 л
[5], с. 24</t>
  </si>
  <si>
    <t xml:space="preserve">13365,0 л / 10731,0 кг
2-й аналог: исходные данные из источника</t>
  </si>
  <si>
    <t>этап 1–3</t>
  </si>
  <si>
    <t>Относительные массы и параметры весового расчёта</t>
  </si>
  <si>
    <t>Относительная масса конструкции</t>
  </si>
  <si>
    <t>m̄_кон</t>
  </si>
  <si>
    <t>Относительная масса крыла</t>
  </si>
  <si>
    <t>m̄_кр</t>
  </si>
  <si>
    <t>Относительная масса фюзеляжа</t>
  </si>
  <si>
    <t>m̄_ф</t>
  </si>
  <si>
    <t>F: (5.6); 08_Масса_II!C35</t>
  </si>
  <si>
    <t>Относительная масса оперения</t>
  </si>
  <si>
    <t>m̄_оп</t>
  </si>
  <si>
    <t>F: (5.7); 08_Масса_II!C9</t>
  </si>
  <si>
    <t>Относительная масса шасси</t>
  </si>
  <si>
    <t>m̄_ш</t>
  </si>
  <si>
    <t>F: (5.9); 08_Масса_II!C14</t>
  </si>
  <si>
    <t>Относительная масса силовой установки</t>
  </si>
  <si>
    <t>m̄_с.у</t>
  </si>
  <si>
    <t>F: (5.10); точка принятия решения; 08_Масса_II!C165</t>
  </si>
  <si>
    <t>Относительная масса оборудования и управления</t>
  </si>
  <si>
    <t>m̄_об.упр</t>
  </si>
  <si>
    <t>F: (5.14); 08_Масса_II!C18</t>
  </si>
  <si>
    <t>Относительная масса топлива первого приближения</t>
  </si>
  <si>
    <t>m̄_топ</t>
  </si>
  <si>
    <t>F: выбранный вариант разд. 3; 06_Масса_I!C46</t>
  </si>
  <si>
    <t>Масса топлива планового полёта с m_кн^MAX, кг</t>
  </si>
  <si>
    <t>m_топ.план с MAX кн</t>
  </si>
  <si>
    <t xml:space="preserve">6804,0
баланс по диаграмме Bombardier «коммерческая нагрузка — дальность»</t>
  </si>
  <si>
    <t>F: кг; (1.9); 03_Дальность!C19</t>
  </si>
  <si>
    <t>Относительная масса топлива на взлёт, набор и разгон</t>
  </si>
  <si>
    <t>m̄_топ.н.р</t>
  </si>
  <si>
    <t>F: (1.23); 03_Дальность!C61</t>
  </si>
  <si>
    <t>Относительная масса топлива на снижение и посадку</t>
  </si>
  <si>
    <t>m̄_топ.сн.п</t>
  </si>
  <si>
    <t>F: (1.24); 03_Дальность!C62</t>
  </si>
  <si>
    <t>Относительная масса аэронавигационного запаса</t>
  </si>
  <si>
    <t>m̄_топ.АНЗ</t>
  </si>
  <si>
    <t>F: (1.25); 03_Дальность!C63</t>
  </si>
  <si>
    <t>Относительная масса топлива на прочие расходы</t>
  </si>
  <si>
    <t>m̄_топ.пр</t>
  </si>
  <si>
    <t>F: (1.26)/(3.9); 03_Дальность!C64</t>
  </si>
  <si>
    <t>Относительная масса топлива крейсерского этапа</t>
  </si>
  <si>
    <t>m̄_топ.крейс</t>
  </si>
  <si>
    <t>F: (3.10); 06_Масса_I!C33</t>
  </si>
  <si>
    <t>Коэффициенты весового расчёта</t>
  </si>
  <si>
    <t>Коэффициент ресурса крыла</t>
  </si>
  <si>
    <t>E_кр</t>
  </si>
  <si>
    <t>[1], метод массы крыла</t>
  </si>
  <si>
    <t>F: табл. 5.1</t>
  </si>
  <si>
    <t>Поправка на тип механизации крыла</t>
  </si>
  <si>
    <t>k₁</t>
  </si>
  <si>
    <t>диапазон по [1]; 08_Масса_II!C52:D52</t>
  </si>
  <si>
    <t>1,4…1,6</t>
  </si>
  <si>
    <t>Поправка на тип топливных баков крыла</t>
  </si>
  <si>
    <t>k₂</t>
  </si>
  <si>
    <t>диапазон по [1]; тип бака/герметизации CRJ900 не подтверждён</t>
  </si>
  <si>
    <t>1,00…1,20</t>
  </si>
  <si>
    <t>Расчётная перегрузка</t>
  </si>
  <si>
    <t>n_p</t>
  </si>
  <si>
    <t>по нормам прочности</t>
  </si>
  <si>
    <t>F: (5.3)</t>
  </si>
  <si>
    <t>Коэффициент разгрузки крыла</t>
  </si>
  <si>
    <t>φ</t>
  </si>
  <si>
    <t>топливо + размещение двигателей</t>
  </si>
  <si>
    <t>F: (5.5)</t>
  </si>
  <si>
    <t>Относительная масса топлива в одной консоли</t>
  </si>
  <si>
    <t>m̄_T,1 конс</t>
  </si>
  <si>
    <t>0,5 m̄_T при топливе в двух консолях</t>
  </si>
  <si>
    <t>F: 0,5·06_Масса_I!C34</t>
  </si>
  <si>
    <t>Коэффициент размещения двигателей на крыле</t>
  </si>
  <si>
    <t>k_к.с.у</t>
  </si>
  <si>
    <t>двигатели на фюзеляже</t>
  </si>
  <si>
    <t>Коэффициент местоположения двигателей для массы фюзеляжа</t>
  </si>
  <si>
    <t>k_ф1</t>
  </si>
  <si>
    <t>табл. 5.4 [1]</t>
  </si>
  <si>
    <t>F: 08_Масса_II!C34</t>
  </si>
  <si>
    <t>Поправка на крепление главных опор</t>
  </si>
  <si>
    <t>k_ф2</t>
  </si>
  <si>
    <t>табл. 5.5 [1]</t>
  </si>
  <si>
    <t>F: 08_Масса_II!C28</t>
  </si>
  <si>
    <t>Поправка на место уборки главных колёс</t>
  </si>
  <si>
    <t>k_ф3</t>
  </si>
  <si>
    <t>табл. 5.6 [1]</t>
  </si>
  <si>
    <t>F: 08_Масса_II!C29</t>
  </si>
  <si>
    <t>Поправка на способ транспортировки багажа</t>
  </si>
  <si>
    <t>k_ф4</t>
  </si>
  <si>
    <t>табл. 5.7 [1]</t>
  </si>
  <si>
    <t>F: 08_Масса_II!C31</t>
  </si>
  <si>
    <t>Показатель степени размера фюзеляжа</t>
  </si>
  <si>
    <t>k_ф5</t>
  </si>
  <si>
    <t>табл. 5.8 [1]</t>
  </si>
  <si>
    <t>F: 08_Масса_II!C32</t>
  </si>
  <si>
    <t>Ресурсная поправка массы оперения</t>
  </si>
  <si>
    <t>E_оп</t>
  </si>
  <si>
    <t>(5.8)</t>
  </si>
  <si>
    <t>F: (5.8)</t>
  </si>
  <si>
    <t>Коэффициент схемы оперения</t>
  </si>
  <si>
    <t>k_оп</t>
  </si>
  <si>
    <t>Т-образное оперение</t>
  </si>
  <si>
    <t>F: табл. 5.9</t>
  </si>
  <si>
    <t>Коэффициент числа главных стоек</t>
  </si>
  <si>
    <t>k_ш1</t>
  </si>
  <si>
    <t>[1]</t>
  </si>
  <si>
    <t>F: табл. 5.10</t>
  </si>
  <si>
    <t>Коэффициент схемы крыла/диаметра фюзеляжа</t>
  </si>
  <si>
    <t>k_ш2</t>
  </si>
  <si>
    <t>F: табл. 5.11</t>
  </si>
  <si>
    <t>Удельный вес двигателя</t>
  </si>
  <si>
    <t>γ_дв</t>
  </si>
  <si>
    <t>по (5.11); аналог — контроль</t>
  </si>
  <si>
    <t>F: (5.11); точка принятия решения</t>
  </si>
  <si>
    <t>Коэффициент массы силовой установки</t>
  </si>
  <si>
    <t>k_с.у</t>
  </si>
  <si>
    <t>(5.13)</t>
  </si>
  <si>
    <t>F: (5.13)</t>
  </si>
  <si>
    <t>Коэффициент компоновки силовой установки</t>
  </si>
  <si>
    <t>k_с.у1</t>
  </si>
  <si>
    <t>табл. 5.12 [1]</t>
  </si>
  <si>
    <t>F: 08_Масса_II!C69</t>
  </si>
  <si>
    <t>Коэффициент воздухозаборников и сопел</t>
  </si>
  <si>
    <t>k_с.у2</t>
  </si>
  <si>
    <t>табл. 5.13 [1]</t>
  </si>
  <si>
    <t>F: 08_Масса_II!C70</t>
  </si>
  <si>
    <t>Аэродинамические характеристики</t>
  </si>
  <si>
    <t>Максимальное аэродинамическое качество</t>
  </si>
  <si>
    <t>K_MAX</t>
  </si>
  <si>
    <t>не найдено в выбранных первичных источниках</t>
  </si>
  <si>
    <t>не найдено в выбранных источниках 2-го аналога</t>
  </si>
  <si>
    <t>способы (2.1) и (2.10) взаимно согласуются</t>
  </si>
  <si>
    <t>F: рабочее значение; 05_Аэродинамика!C28</t>
  </si>
  <si>
    <t>Аэродинамическое качество на максимальную дальность</t>
  </si>
  <si>
    <t>K_крейс</t>
  </si>
  <si>
    <t>проверки (2.30), (2.32), (2.33)</t>
  </si>
  <si>
    <t>F: (2.25); 05_Аэродинамика!C41</t>
  </si>
  <si>
    <t>Минимальный коэффициент сопротивления на поляре</t>
  </si>
  <si>
    <t>C_x min</t>
  </si>
  <si>
    <t>не определено: третий вариант поляры</t>
  </si>
  <si>
    <t>C_y, соответствующий C_x min</t>
  </si>
  <si>
    <t>C_y0</t>
  </si>
  <si>
    <t>C_y, соответствующий K_MAX</t>
  </si>
  <si>
    <t>C_y,KMAX</t>
  </si>
  <si>
    <t>F: (2.22); 05_Аэродинамика!C29</t>
  </si>
  <si>
    <t>C_y на крейсерском режиме</t>
  </si>
  <si>
    <t>C_y,крейс</t>
  </si>
  <si>
    <t>проверки (2.26), (2.29)</t>
  </si>
  <si>
    <t>F: (2.23); 05_Аэродинамика!C39</t>
  </si>
  <si>
    <t>C_x при C_y=0</t>
  </si>
  <si>
    <t>C_x0</t>
  </si>
  <si>
    <t>не определено: требуется замкнутая поляра</t>
  </si>
  <si>
    <t>C_y max при заходе на посадку</t>
  </si>
  <si>
    <t>C_y max,пос</t>
  </si>
  <si>
    <t>табл. 2.6 [1]</t>
  </si>
  <si>
    <t>F: рабочая середина; 07_p0_P0!C56</t>
  </si>
  <si>
    <t>C_y max при взлёте</t>
  </si>
  <si>
    <t>C_y max,взл</t>
  </si>
  <si>
    <t>F: рабочая середина; 07_p0_P0!C69</t>
  </si>
  <si>
    <t>Аэродинамическое качество при разбеге</t>
  </si>
  <si>
    <t>K_разб</t>
  </si>
  <si>
    <t>взлётная конфигурация</t>
  </si>
  <si>
    <t>F: (2.35); 07_p0_P0!C35</t>
  </si>
  <si>
    <t>Аэродинамическое качество при наборе с одним отказавшим двигателем</t>
  </si>
  <si>
    <t>K_наб</t>
  </si>
  <si>
    <t>учитывает сопротивление отказавшей СУ</t>
  </si>
  <si>
    <t>F: (2.36); 07_p0_P0!C34</t>
  </si>
  <si>
    <t>Скоростной напор на крейсерском режиме, кгс/м²</t>
  </si>
  <si>
    <t>q_крейс</t>
  </si>
  <si>
    <t>F: (4.4); 07_p0_P0!C20</t>
  </si>
  <si>
    <t>Плотность воздуха на крейсерской высоте, кг/м³</t>
  </si>
  <si>
    <t>ρ_H крейс</t>
  </si>
  <si>
    <t>МСА</t>
  </si>
  <si>
    <t>F: МСА; 05_Аэродинамика!C35</t>
  </si>
  <si>
    <t>Плотность воздуха у земли, кг/м³</t>
  </si>
  <si>
    <t>ρ₀</t>
  </si>
  <si>
    <t>1,225; МСА</t>
  </si>
  <si>
    <t>Относительная плотность на крейсерской высоте</t>
  </si>
  <si>
    <t>Δ_H крейс</t>
  </si>
  <si>
    <t>ρ_H/ρ₀</t>
  </si>
  <si>
    <t>F: 05_Аэродинамика!C36</t>
  </si>
  <si>
    <t>Полётные параметры и характеристики двигателей</t>
  </si>
  <si>
    <t>Время полёта на аэронавигационном запасе, ч</t>
  </si>
  <si>
    <t>T_АНЗ</t>
  </si>
  <si>
    <t>Журавлёв: при отсутствии данных аналога T_АНЗ принимается 1 ч</t>
  </si>
  <si>
    <t>при отсутствии исходного T_АНЗ пособие допускает 1 ч</t>
  </si>
  <si>
    <t>F: ч; рабочее значение</t>
  </si>
  <si>
    <t>Дальность полёта на аэронавигационном запасе</t>
  </si>
  <si>
    <t>L_топ.АНЗ</t>
  </si>
  <si>
    <t>запас на уход на запасной аэродром 200 морских миль [5]</t>
  </si>
  <si>
    <t>не отождествляется автоматически с отдельным L_топ.АНЗ</t>
  </si>
  <si>
    <t>Число Маха крейсерского полёта</t>
  </si>
  <si>
    <t>M_кр</t>
  </si>
  <si>
    <t xml:space="preserve">0,7
[13], нормальная крейсерская скорость; также [5], диаграмма «коммерческая нагрузка — дальность»</t>
  </si>
  <si>
    <t>F: Bombardier: M=0,70; H_кр — расчётная высота перехода по МСА</t>
  </si>
  <si>
    <t>Градиент траектории на 3-м этапе набора</t>
  </si>
  <si>
    <t>tg θ</t>
  </si>
  <si>
    <t>методическое/нормативное значение [1]</t>
  </si>
  <si>
    <t>F: табл. 4.3; (4.11)</t>
  </si>
  <si>
    <t>Коэффициент трения при разбеге</t>
  </si>
  <si>
    <t>f_разб</t>
  </si>
  <si>
    <t>рабочее значение для сухого покрытия</t>
  </si>
  <si>
    <t>F: 07_p0_P0!C71</t>
  </si>
  <si>
    <t>Дальность набора, разгона и снижения, км</t>
  </si>
  <si>
    <t>L_н.сн</t>
  </si>
  <si>
    <t>F: (3.11); 06_Масса_I!C32</t>
  </si>
  <si>
    <t>Модель двигателя</t>
  </si>
  <si>
    <t xml:space="preserve">GE CF34-8C5
[5; 8]</t>
  </si>
  <si>
    <t xml:space="preserve">Rolls-Royce Tay 620-15
2-й аналог: исходные данные из источника</t>
  </si>
  <si>
    <t>Суммарная стартовая тяга двигателей, кН</t>
  </si>
  <si>
    <t>P₀</t>
  </si>
  <si>
    <t>не опубликована отдельной суммой; 2×CF34-8C5 по GE/Bombardier</t>
  </si>
  <si>
    <t>сумма получена из числа двигателей и тяги одного двигателя</t>
  </si>
  <si>
    <t>F: кН; (4.18); выбранная ветвь</t>
  </si>
  <si>
    <t>Стартовая тяга одного двигателя, кН</t>
  </si>
  <si>
    <t>P₀¹</t>
  </si>
  <si>
    <t xml:space="preserve">64,5
[8]</t>
  </si>
  <si>
    <t xml:space="preserve">61,6
2-й аналог: исходные данные из источника</t>
  </si>
  <si>
    <t>F: P₀/n_дв; 07_p0_P0!C102/C37</t>
  </si>
  <si>
    <t>Степень двухконтурности</t>
  </si>
  <si>
    <t>m</t>
  </si>
  <si>
    <t xml:space="preserve">5,0
[8]</t>
  </si>
  <si>
    <t xml:space="preserve">не определено
2-й аналог: исходные данные из источника</t>
  </si>
  <si>
    <t>F: GE CF34-8C5</t>
  </si>
  <si>
    <t>Степень повышения давления</t>
  </si>
  <si>
    <t>π_k*</t>
  </si>
  <si>
    <t xml:space="preserve">28,5
[8]</t>
  </si>
  <si>
    <t>Количество двигателей</t>
  </si>
  <si>
    <t>n_дв</t>
  </si>
  <si>
    <t xml:space="preserve">2
[5]</t>
  </si>
  <si>
    <t xml:space="preserve">2
2-й аналог: исходные данные из источника</t>
  </si>
  <si>
    <t>F: шт.</t>
  </si>
  <si>
    <t>Количество двигателей с реверсом</t>
  </si>
  <si>
    <t>n_дв.рев</t>
  </si>
  <si>
    <t>не найдено как отдельная паспортная запись</t>
  </si>
  <si>
    <t>техническое руководство Bombardier подтверждает систему реверса тяги CRJ700/900</t>
  </si>
  <si>
    <t>F: рабочая конфигурационная трактовка</t>
  </si>
  <si>
    <t>Удельный часовой расход на крейсерском режиме</t>
  </si>
  <si>
    <t>C_p крейс</t>
  </si>
  <si>
    <t xml:space="preserve">0,68
[8]</t>
  </si>
  <si>
    <t>F: (3.6); контроль</t>
  </si>
  <si>
    <t>Стартовый удельный часовой расход при V=0, H=0</t>
  </si>
  <si>
    <t>C_p0</t>
  </si>
  <si>
    <t>не найден в используемом листе GE</t>
  </si>
  <si>
    <t>не найден</t>
  </si>
  <si>
    <t>статистическая зависимость [1]</t>
  </si>
  <si>
    <t>F: (3.7)</t>
  </si>
  <si>
    <t>Коэффициент изменения тяги по скорости</t>
  </si>
  <si>
    <t>ξ_крейс</t>
  </si>
  <si>
    <t>F: (4.14)</t>
  </si>
  <si>
    <t>Коэффициент дросселирования на крейсерском режиме</t>
  </si>
  <si>
    <t>φ_руд</t>
  </si>
  <si>
    <t>0,7…0,9 [1]; 07_p0_P0!C16:C17</t>
  </si>
  <si>
    <t>0,7…0,9</t>
  </si>
  <si>
    <t>Рабочая сводка к таблице 1.2 — исходные параметры и служебные производные</t>
  </si>
  <si>
    <t>Источник / формула</t>
  </si>
  <si>
    <t>исходные данные самолётов-аналогов</t>
  </si>
  <si>
    <t>Площадь крыла</t>
  </si>
  <si>
    <t>м²</t>
  </si>
  <si>
    <t>Опубликованный размах крыла</t>
  </si>
  <si>
    <t>Bombardier: опубликованный габаритный размах выбранного CRJ900</t>
  </si>
  <si>
    <t>Расчётное удлинение крыла λ</t>
  </si>
  <si>
    <t>-</t>
  </si>
  <si>
    <t>1-й: 8.689; 2-й: 8.431; расчётный размах 1-го аналога=24.85 м; проверка по габаритному размаху=8.689</t>
  </si>
  <si>
    <t>λ=b²/S по исходным данным выбранных аналогов</t>
  </si>
  <si>
    <t>Суммарная взлётная тяга</t>
  </si>
  <si>
    <t>кН</t>
  </si>
  <si>
    <t>2 × тяга одного двигателя GE; служебный расчёт для P̄₀</t>
  </si>
  <si>
    <t>Удельная нагрузка на крыло p₀</t>
  </si>
  <si>
    <t>кг/м²</t>
  </si>
  <si>
    <t>1-й: 539.31; 2-й: 446.31</t>
  </si>
  <si>
    <t>m_взл.max/S</t>
  </si>
  <si>
    <t>Тяговооружённость P̄₀</t>
  </si>
  <si>
    <t>1-й: 0.3432; 2-й: 0.3011</t>
  </si>
  <si>
    <t>P/(m g), g=9.80665</t>
  </si>
  <si>
    <t>Максимальная посадочная масса</t>
  </si>
  <si>
    <t>Максимальная масса без топлива</t>
  </si>
  <si>
    <t>Масса пустого снаряжённого самолёта</t>
  </si>
  <si>
    <t>Максимальная масса коммерческой нагрузки</t>
  </si>
  <si>
    <t>Максимальная масса топлива</t>
  </si>
  <si>
    <t>подтверждённые данные по запасу топлива</t>
  </si>
  <si>
    <t>Длина самолёта</t>
  </si>
  <si>
    <t>Длина фюзеляжа</t>
  </si>
  <si>
    <t>Площадь горизонтального оперения</t>
  </si>
  <si>
    <t>Размах горизонтального оперения</t>
  </si>
  <si>
    <t>Площадь вертикального оперения</t>
  </si>
  <si>
    <t>Суммарная площадь оперения</t>
  </si>
  <si>
    <t>1-й: 27.0; 2-й: —</t>
  </si>
  <si>
    <t>S_ГО + S_ВО</t>
  </si>
  <si>
    <t>Bombardier CRJ900 (CL-600-2D24) — расчёт диаграммы транспортных возможностей</t>
  </si>
  <si>
    <t>Величина</t>
  </si>
  <si>
    <t>Excel</t>
  </si>
  <si>
    <t>Основание / статус</t>
  </si>
  <si>
    <t>Максимальная стояночная масса m_ст^MAX</t>
  </si>
  <si>
    <t>Максимальная взлётная масса m_взл^MAX</t>
  </si>
  <si>
    <t>Максимальная коммерческая нагрузка m_кн^MAX</t>
  </si>
  <si>
    <t>Диаграмма Bombardier «коммерческая нагрузка — дальность», рисунок 2</t>
  </si>
  <si>
    <t>Источник: дальность точки B при максимальной коммерческой нагрузке</t>
  </si>
  <si>
    <t>Bombardier, рисунок 2; ≈2408 км, графическое считывание ±93 км</t>
  </si>
  <si>
    <t>Источник: коммерческая нагрузка точки C (86 пассажиров)</t>
  </si>
  <si>
    <t>Источник: дальность точки C (≈3678 км)</t>
  </si>
  <si>
    <t>Bombardier, рисунок 2: перевод 1986 морских миль в километры</t>
  </si>
  <si>
    <t>Источник: дальность точки D при нулевой коммерческой нагрузке</t>
  </si>
  <si>
    <t>Bombardier, рисунок 2; ≈2550 морских миль, графическое считывание ±50 морских миль</t>
  </si>
  <si>
    <t>Баланс массы / расход</t>
  </si>
  <si>
    <t>Пояснение</t>
  </si>
  <si>
    <t>m_кн+топ.план по максимальной стояночной массе</t>
  </si>
  <si>
    <t>(1.8)</t>
  </si>
  <si>
    <t>Плановое топливо в B по стояночной массе</t>
  </si>
  <si>
    <t>(1.9)</t>
  </si>
  <si>
    <t>Топливо на взлёте в B</t>
  </si>
  <si>
    <t>разность максимальной взлётной массы и максимальной массы без топлива; определение приложения 8</t>
  </si>
  <si>
    <t>Расход топлива от стоянки до начала взлёта</t>
  </si>
  <si>
    <t>равен разности максимальной стояночной и максимальной взлётной масс</t>
  </si>
  <si>
    <t>Q_км^ср PRD — весь рейс в B</t>
  </si>
  <si>
    <t>кг/км</t>
  </si>
  <si>
    <t>приложение 8: расход топлива на взлёте, отнесённый к дальности точки B</t>
  </si>
  <si>
    <t>SAR по участку B–C</t>
  </si>
  <si>
    <t>км/кг</t>
  </si>
  <si>
    <t>приложение 8, П8.2</t>
  </si>
  <si>
    <t>Q_км^ср SAR — крейсерский инкремент</t>
  </si>
  <si>
    <t>приложение 8, П8.3; используется ниже при расчёте дальности</t>
  </si>
  <si>
    <t>Коммерческая нагрузка при полных баках по стояночной массе</t>
  </si>
  <si>
    <t>(1.16) буквально через m_ст^MAX</t>
  </si>
  <si>
    <t>Коммерческая нагрузка при полных баках по максимальной взлётной массе</t>
  </si>
  <si>
    <t>баланс взлётной массы</t>
  </si>
  <si>
    <t>Коммерческая нагрузка точки C по диаграмме Bombardier</t>
  </si>
  <si>
    <t>86 пассажиров × 90,72 кг</t>
  </si>
  <si>
    <t>Точка C Bombardier − расчёт по максимальной взлётной массе</t>
  </si>
  <si>
    <t>проверка согласованности с исходной точкой C</t>
  </si>
  <si>
    <t>Число Маха по диаграмме Bombardier</t>
  </si>
  <si>
    <t>Допущения для расчёта дальности</t>
  </si>
  <si>
    <t>Значение / формула</t>
  </si>
  <si>
    <t>Статус</t>
  </si>
  <si>
    <t>ч</t>
  </si>
  <si>
    <t>методическое допущение до уточнения ТТТ</t>
  </si>
  <si>
    <t>расчёт по M_кр и H_кр в международной стандартной атмосфере</t>
  </si>
  <si>
    <t>Q для ESAR</t>
  </si>
  <si>
    <t>принят расход по участку B–C, а не средний расход за весь рейс</t>
  </si>
  <si>
    <t>m_топ.АНЗ</t>
  </si>
  <si>
    <t>(1.6)</t>
  </si>
  <si>
    <t>ESAR — первая опорная точка B</t>
  </si>
  <si>
    <t>Отклонение / формула</t>
  </si>
  <si>
    <t>L_B, вариант 1</t>
  </si>
  <si>
    <t>ESAR_B, вариант 2</t>
  </si>
  <si>
    <t>(1.12)</t>
  </si>
  <si>
    <t>L_B, вариант 2</t>
  </si>
  <si>
    <t>ESAR_B, вариант 3</t>
  </si>
  <si>
    <t>(1.14)</t>
  </si>
  <si>
    <t>L_B, вариант 3</t>
  </si>
  <si>
    <t>Источник Bombardier: B</t>
  </si>
  <si>
    <t>≈2408 км, графическое считывание</t>
  </si>
  <si>
    <t>ESAR — вторая опорная точка C</t>
  </si>
  <si>
    <t>L_C, вариант 1</t>
  </si>
  <si>
    <t>ESAR_C, вариант 2</t>
  </si>
  <si>
    <t>(1.19)</t>
  </si>
  <si>
    <t>L_C, вариант 2</t>
  </si>
  <si>
    <t>ESAR_C, вариант 3</t>
  </si>
  <si>
    <t>(1.21)</t>
  </si>
  <si>
    <t>L_C, вариант 3</t>
  </si>
  <si>
    <t>Источник Bombardier: C</t>
  </si>
  <si>
    <t>перевод 1986 морских миль в километры</t>
  </si>
  <si>
    <t>Расчёт с явным учётом некрейсерских этапов</t>
  </si>
  <si>
    <t>Основание / отклонение</t>
  </si>
  <si>
    <t>расчётная высота перехода по МСА для режима Bombardier 250 узлов приборной скорости / M=0,70</t>
  </si>
  <si>
    <t>H_кр для эмпирических формул</t>
  </si>
  <si>
    <t>явное преобразование м→км перед (1.23), (1.24)</t>
  </si>
  <si>
    <t>Степень двухконтурности m</t>
  </si>
  <si>
    <t>GE CF34-8C5: степень двухконтурности 5:1</t>
  </si>
  <si>
    <t>Относительная масса топлива на набор и разгон</t>
  </si>
  <si>
    <t>(1.23); H численно в км</t>
  </si>
  <si>
    <t>(1.24); H численно в км</t>
  </si>
  <si>
    <t>Относительная масса АНЗ</t>
  </si>
  <si>
    <t>(1.25), вариант через Q_км и V_кр</t>
  </si>
  <si>
    <t>Относительная масса прочих расходов</t>
  </si>
  <si>
    <t>(1.26)</t>
  </si>
  <si>
    <t>Суммарная относительная масса вне крейсера</t>
  </si>
  <si>
    <t>сумма (1.23)–(1.26)</t>
  </si>
  <si>
    <t>Масса топлива вне крейсера</t>
  </si>
  <si>
    <t>относительная сумма × m_ст^MAX</t>
  </si>
  <si>
    <t>Топливо крейсерского этапа B</t>
  </si>
  <si>
    <t>(1.27), первая точка</t>
  </si>
  <si>
    <t>Дальность B по (1.23)–(1.28)</t>
  </si>
  <si>
    <t>Топливо крейсерского этапа C</t>
  </si>
  <si>
    <t>(1.27), вторая точка</t>
  </si>
  <si>
    <t>Дальность C по (1.23)–(1.28)</t>
  </si>
  <si>
    <t>Интерпретация</t>
  </si>
  <si>
    <t>В текущем рабочем расчёте метод (1.23)–(1.28) заметно недооценивает обе исходные дальности. Это не скрывается и не подгоняется: результат чувствителен к H_кр, V_кр, T_АНЗ и выбранному Q_км. До согласования этих ТТТ прямой метод используется как диагностический расчёт, а не как окончательное проектное значение.</t>
  </si>
  <si>
    <t>Диаграмма транспортных возможностей: исходные и расчётные точки</t>
  </si>
  <si>
    <t>Серия</t>
  </si>
  <si>
    <t>Дальность, км</t>
  </si>
  <si>
    <t>Коммерческая нагрузка, кг</t>
  </si>
  <si>
    <t>Тип</t>
  </si>
  <si>
    <t>Расчётная диаграмма</t>
  </si>
  <si>
    <t>Bombardier A</t>
  </si>
  <si>
    <t>исходная</t>
  </si>
  <si>
    <t>левая граница опубликованной диаграммы</t>
  </si>
  <si>
    <t>Bombardier B</t>
  </si>
  <si>
    <t>максимальная коммерческая нагрузка; графическое считывание</t>
  </si>
  <si>
    <t>Bombardier C</t>
  </si>
  <si>
    <t>86 пассажиров; 3678 км</t>
  </si>
  <si>
    <t>Bombardier D</t>
  </si>
  <si>
    <t>максимальный запас топлива; нулевая коммерческая нагрузка</t>
  </si>
  <si>
    <t>Расчёт B, вариант 1</t>
  </si>
  <si>
    <t>расчётная</t>
  </si>
  <si>
    <t>(1.11)</t>
  </si>
  <si>
    <t>Расчёт B, вариант 2</t>
  </si>
  <si>
    <t>(1.12)–(1.13)</t>
  </si>
  <si>
    <t>Расчёт B, вариант 3</t>
  </si>
  <si>
    <t>(1.14)–(1.15)</t>
  </si>
  <si>
    <t>Расчёт C, вариант 1</t>
  </si>
  <si>
    <t>(1.18)</t>
  </si>
  <si>
    <t>Расчёт C, вариант 2</t>
  </si>
  <si>
    <t>(1.19)–(1.20)</t>
  </si>
  <si>
    <t>Расчёт C, вариант 3</t>
  </si>
  <si>
    <t>(1.21)–(1.22)</t>
  </si>
  <si>
    <t>Проверка B</t>
  </si>
  <si>
    <t>контрольная</t>
  </si>
  <si>
    <t>(1.23)–(1.28)</t>
  </si>
  <si>
    <t>Проверка C</t>
  </si>
  <si>
    <t>Этап 2 — основные аэродинамические характеристики Bombardier CRJ900 (CL-600-2D24)</t>
  </si>
  <si>
    <t>источник первого аналога</t>
  </si>
  <si>
    <t>по источнику</t>
  </si>
  <si>
    <t>Площадь крыла S</t>
  </si>
  <si>
    <t>исходное</t>
  </si>
  <si>
    <t>Расчётный размах b=√(λS)</t>
  </si>
  <si>
    <t>λ и S первого самолёта-аналога</t>
  </si>
  <si>
    <t>рассчитано по исходным λ и S</t>
  </si>
  <si>
    <t>Удлинение крыла λ, принятое в аэродинамическом расчёте</t>
  </si>
  <si>
    <t>Габаритный размах с законцовками</t>
  </si>
  <si>
    <t>по источнику; не использовать как b в λ=b²/S и (2.10)</t>
  </si>
  <si>
    <t>Коэффициент k_e</t>
  </si>
  <si>
    <t>(2.1): ближнемагистральный самолёт</t>
  </si>
  <si>
    <t>рабочий выбор</t>
  </si>
  <si>
    <t>Коэффициент Освальда e</t>
  </si>
  <si>
    <t>табл. 2.2: 0,75…0,85</t>
  </si>
  <si>
    <t>рабочая середина диапазона</t>
  </si>
  <si>
    <t>Базовый коэффициент для U_ак</t>
  </si>
  <si>
    <t>(2.12): 285…300</t>
  </si>
  <si>
    <t>Высота крейсерского полёта H_кр</t>
  </si>
  <si>
    <t>высота перехода по МСА для режима Bombardier 250 узлов приборной скорости / M=0,70</t>
  </si>
  <si>
    <t>расчётное ТТТ; Bombardier не задаёт единственную крейсерскую высоту</t>
  </si>
  <si>
    <t>Крейсерское число Маха M_кр</t>
  </si>
  <si>
    <t>диаграмма Bombardier «коммерческая нагрузка — дальность»: 250 узлов приборной скорости / M=0,70</t>
  </si>
  <si>
    <t>крейсерский режим по источнику</t>
  </si>
  <si>
    <t>Крейсерская скорость V_кр</t>
  </si>
  <si>
    <t>M_кр и H_кр, МСА</t>
  </si>
  <si>
    <t>расчётное значение</t>
  </si>
  <si>
    <t>Плановое топливо точки B</t>
  </si>
  <si>
    <t>ссылка на 03_Дальность!C19</t>
  </si>
  <si>
    <t>расчёт этапа 1</t>
  </si>
  <si>
    <t>Масса АНЗ</t>
  </si>
  <si>
    <t>ссылка на 03_Дальность!C36</t>
  </si>
  <si>
    <t>Методика</t>
  </si>
  <si>
    <t>Комментарий</t>
  </si>
  <si>
    <t>Площадь омываемой поверхности S_ом.сам</t>
  </si>
  <si>
    <t>(2.7)</t>
  </si>
  <si>
    <t>региональный/магистральный самолёт с ДТРД</t>
  </si>
  <si>
    <t>Относительная омываемая поверхность S_ом.сам/S</t>
  </si>
  <si>
    <t>(2.2) после оценки (2.7)</t>
  </si>
  <si>
    <t>K_max — метод 1</t>
  </si>
  <si>
    <t>(2.1)</t>
  </si>
  <si>
    <t>Loftin/Raymer</t>
  </si>
  <si>
    <t>Коэффициент масштаба k_s</t>
  </si>
  <si>
    <t>(2.13)</t>
  </si>
  <si>
    <t>Показатель U_ак</t>
  </si>
  <si>
    <t>(2.12)</t>
  </si>
  <si>
    <t>при коэффициенте 292,5 из диапазона 285…300</t>
  </si>
  <si>
    <t>K_max — метод 2</t>
  </si>
  <si>
    <t>(2.10)</t>
  </si>
  <si>
    <t>метод А.Н. Арепьева</t>
  </si>
  <si>
    <t>Расхождение методов 1 и 2</t>
  </si>
  <si>
    <t>%</t>
  </si>
  <si>
    <t>симметричное относительное отличие</t>
  </si>
  <si>
    <t>контрольное расхождение; методика не задаёт допустимый порог</t>
  </si>
  <si>
    <t>Рабочее K_max</t>
  </si>
  <si>
    <t>временно принят метод 2</t>
  </si>
  <si>
    <t>не окончательное до метода 3/согласования</t>
  </si>
  <si>
    <t>C_y при K_max</t>
  </si>
  <si>
    <t>(2.22)</t>
  </si>
  <si>
    <t>проверка: для нового поколения возможно ≥0,65</t>
  </si>
  <si>
    <t>Крейсерский режим — первый способ</t>
  </si>
  <si>
    <t>Температура по МСА</t>
  </si>
  <si>
    <t>K</t>
  </si>
  <si>
    <t>МСА, тропосфера</t>
  </si>
  <si>
    <t>Давление по МСА</t>
  </si>
  <si>
    <t>Па</t>
  </si>
  <si>
    <t>Плотность воздуха ρ_кр</t>
  </si>
  <si>
    <t>кг/м³</t>
  </si>
  <si>
    <t>Относительная плотность Δ_кр</t>
  </si>
  <si>
    <t>ρ_кр/ρ_0</t>
  </si>
  <si>
    <t>ρ_0=1,225 кг/м³</t>
  </si>
  <si>
    <t>Скоростной напор q_кр</t>
  </si>
  <si>
    <t>q=ρV²/2</t>
  </si>
  <si>
    <t>Средняя полётная масса на крейсерском участке</t>
  </si>
  <si>
    <t>массовый член формулы (2.23)</t>
  </si>
  <si>
    <t>точка B</t>
  </si>
  <si>
    <t>C_y крейс — из равновесия сил</t>
  </si>
  <si>
    <t>(2.23)</t>
  </si>
  <si>
    <t>первый способ</t>
  </si>
  <si>
    <t>C_y крейс / C_y,Kmax</t>
  </si>
  <si>
    <t>(2.24)</t>
  </si>
  <si>
    <t>K_крейс — по форме квадратичной поляры</t>
  </si>
  <si>
    <t>(2.25)</t>
  </si>
  <si>
    <t>при рабочем K_max метода 2</t>
  </si>
  <si>
    <t>Статистические проверки крейсерского режима</t>
  </si>
  <si>
    <t>C_y крейс = 0,71 C_y,Kmax</t>
  </si>
  <si>
    <t>(2.26)</t>
  </si>
  <si>
    <t>сравнить с C39</t>
  </si>
  <si>
    <t>C_y крейс = 0,80 C_y,Kmax</t>
  </si>
  <si>
    <t>середина диапазона (2.29) 0,77…0,83</t>
  </si>
  <si>
    <t>справочно</t>
  </si>
  <si>
    <t>K_крейс, нижняя граница</t>
  </si>
  <si>
    <t>(2.30)</t>
  </si>
  <si>
    <t>статистический диапазон</t>
  </si>
  <si>
    <t>K_крейс, верхняя граница</t>
  </si>
  <si>
    <t>K_крейс, середина (2.30)</t>
  </si>
  <si>
    <t>середина (2.30)</t>
  </si>
  <si>
    <t>K_крейс = 0,87 K_max</t>
  </si>
  <si>
    <t>(2.32)</t>
  </si>
  <si>
    <t>квадратичная поляра</t>
  </si>
  <si>
    <t>K_крейс = 0,866 K_max</t>
  </si>
  <si>
    <t>(2.33)</t>
  </si>
  <si>
    <t>эффективная скорость ТРДД</t>
  </si>
  <si>
    <t>Метод 3 для K_max</t>
  </si>
  <si>
    <t>χ_1/4=25°, геометрия фюзеляжа и S_г.д≈3,9±0,2 м² закрыты. Метод не рассчитывается до получения относительных толщин крыла C̄₀/C̄_k. После закрытия этих входов следует построить поляру по (2.14)–(2.20) и сравнить с методами 1 и 2.</t>
  </si>
  <si>
    <t>Этап 3 — взлётная масса самолёта в первом приближении</t>
  </si>
  <si>
    <t>Статус / комментарий</t>
  </si>
  <si>
    <t>01_ТТТ!D4</t>
  </si>
  <si>
    <t>исходное ТТТ</t>
  </si>
  <si>
    <t>Масса служебной нагрузки m_сл</t>
  </si>
  <si>
    <t>01_ТТТ!D6</t>
  </si>
  <si>
    <t>05_Аэродинамика!C14</t>
  </si>
  <si>
    <t>рабочее ТТТ; высота перехода по МСА для режима Bombardier 250 узлов приборной скорости / M=0,70</t>
  </si>
  <si>
    <t>GE CF34-8C5</t>
  </si>
  <si>
    <t>первичный источник</t>
  </si>
  <si>
    <t>диаграмма Bombardier «коммерческая нагрузка — дальность»</t>
  </si>
  <si>
    <t>нормальный крейсерский режим; рабочее ТТТ</t>
  </si>
  <si>
    <t>05_Аэродинамика!C16</t>
  </si>
  <si>
    <t>рабочее методическое значение</t>
  </si>
  <si>
    <t>Расчётная скорость встречного ветра W</t>
  </si>
  <si>
    <t>(3.10)</t>
  </si>
  <si>
    <t>по пособию принято W=0</t>
  </si>
  <si>
    <t>Время полёта на АНЗ T_АНЗ</t>
  </si>
  <si>
    <t>03_Дальность!C33</t>
  </si>
  <si>
    <t>Аэродинамическое качество K_кр</t>
  </si>
  <si>
    <t>05_Аэродинамика!C41</t>
  </si>
  <si>
    <t>рабочий расчёт по (2.25)</t>
  </si>
  <si>
    <t>Удельный расход C_p,крейс — принято</t>
  </si>
  <si>
    <t>кг/(кг·ч)</t>
  </si>
  <si>
    <t>технические данные GE CF34-8C</t>
  </si>
  <si>
    <t>для расчёта принят паспортный источник</t>
  </si>
  <si>
    <t>табл. 3.1</t>
  </si>
  <si>
    <t>середина 0,30…0,32; рабочее допущение</t>
  </si>
  <si>
    <t>середина 0,12…0,14; рабочее допущение</t>
  </si>
  <si>
    <t>Расчётная дальность L_расч.кн</t>
  </si>
  <si>
    <t>03_Дальность!C12</t>
  </si>
  <si>
    <t>точка B, максимальная коммерческая нагрузка</t>
  </si>
  <si>
    <t>Максимальная взлётная масса первого самолёта-аналога</t>
  </si>
  <si>
    <t>05_Аэродинамика!C6</t>
  </si>
  <si>
    <t>база сравнения по методике</t>
  </si>
  <si>
    <t>Проверка удельного расхода топлива</t>
  </si>
  <si>
    <t>Стартовый удельный расход C_p0</t>
  </si>
  <si>
    <t>(3.7)</t>
  </si>
  <si>
    <t>расчётная проверка</t>
  </si>
  <si>
    <t>Крейсерский C_p по методике</t>
  </si>
  <si>
    <t>(3.6)</t>
  </si>
  <si>
    <t>сравнивается с паспортным C15</t>
  </si>
  <si>
    <t>Отклонение расчётного C_p от паспортного</t>
  </si>
  <si>
    <t>контроль</t>
  </si>
  <si>
    <t>для расчёта массы сохраняется паспортное C15</t>
  </si>
  <si>
    <t>Первый вариант относительной массы топлива</t>
  </si>
  <si>
    <t>Топливо на взлёт, набор и разгон</t>
  </si>
  <si>
    <t>(3.3)</t>
  </si>
  <si>
    <t>Топливо на снижение и посадку</t>
  </si>
  <si>
    <t>(3.4)</t>
  </si>
  <si>
    <t>Аэронавигационный запас топлива</t>
  </si>
  <si>
    <t>(3.5)</t>
  </si>
  <si>
    <t>вариант по времени АНЗ</t>
  </si>
  <si>
    <t>Руление, опробование двигателей, несливаемый остаток</t>
  </si>
  <si>
    <t>(3.9)</t>
  </si>
  <si>
    <t>статистическое 0,006</t>
  </si>
  <si>
    <t>Горизонтальная дальность набора/снижения L_н.сн</t>
  </si>
  <si>
    <t>(3.11)</t>
  </si>
  <si>
    <t>Топливо крейсерского полёта</t>
  </si>
  <si>
    <t>экспонента сверена с оригиналом PDF, с. 83</t>
  </si>
  <si>
    <t>Суммарная относительная масса топлива — вариант 1</t>
  </si>
  <si>
    <t>(3.2)</t>
  </si>
  <si>
    <t>Взлётная масса первого приближения — вариант 1</t>
  </si>
  <si>
    <t>(3.1)</t>
  </si>
  <si>
    <t>с топливной долей C34</t>
  </si>
  <si>
    <t>Отклонение от максимальной взлётной массы первого аналога</t>
  </si>
  <si>
    <t>сравнение по пособию</t>
  </si>
  <si>
    <t>Второй вариант относительной массы топлива</t>
  </si>
  <si>
    <t>Параметр B</t>
  </si>
  <si>
    <t>(3.13)</t>
  </si>
  <si>
    <t>Суммарная относительная масса топлива — вариант 2</t>
  </si>
  <si>
    <t>(3.12)</t>
  </si>
  <si>
    <t>Взлётная масса первого приближения — вариант 2</t>
  </si>
  <si>
    <t>с топливной долей C40</t>
  </si>
  <si>
    <t>Выбор варианта</t>
  </si>
  <si>
    <t>Выбранный вариант методики топлива</t>
  </si>
  <si>
    <t>№</t>
  </si>
  <si>
    <t>минимум абсолютного отклонения от массы аналога</t>
  </si>
  <si>
    <t>требование раздела 3 пособия</t>
  </si>
  <si>
    <t>Принятая относительная масса топлива</t>
  </si>
  <si>
    <t>по выбранному варианту</t>
  </si>
  <si>
    <t>Принятая взлётная масса в первом приближении</t>
  </si>
  <si>
    <t>не окончательная проектная взлётная масса</t>
  </si>
  <si>
    <t>Отклонение принятой массы от максимальной взлётной массы аналога</t>
  </si>
  <si>
    <t>Примечание по формуле (3.8)</t>
  </si>
  <si>
    <t>Вариант АНЗ по дальности (3.8) не используется: в текущем ТТТ задано рабочее время АНЗ T_АНЗ=1 ч, поэтому применяется формула (3.5). Формула (3.8) сохранена в формула методики для случая, когда будет согласована эквивалентная дальность АНЗ.</t>
  </si>
  <si>
    <t>Этап 4 — ограничения по нагрузке на крыло p₀ и тяговооружённости P̄₀</t>
  </si>
  <si>
    <t>исходное условие</t>
  </si>
  <si>
    <t>05_Аэродинамика!C15</t>
  </si>
  <si>
    <t>расчёт по МСА</t>
  </si>
  <si>
    <t>Плотность воздуха ρ_H,крейс</t>
  </si>
  <si>
    <t>05_Аэродинамика!C35</t>
  </si>
  <si>
    <t>Относительная плотность Δ_H,кр</t>
  </si>
  <si>
    <t>05_Аэродинамика!C36</t>
  </si>
  <si>
    <t>05_Аэродинамика!C39</t>
  </si>
  <si>
    <t>Принятая относительная масса топлива m̄_топ</t>
  </si>
  <si>
    <t>06_Масса_I!C46</t>
  </si>
  <si>
    <t>выбранный вариант главы 3</t>
  </si>
  <si>
    <t>Относительная масса АНЗ m̄_топ.АНЗ</t>
  </si>
  <si>
    <t>06_Масса_I!C30</t>
  </si>
  <si>
    <t>g по методике</t>
  </si>
  <si>
    <t>м/с²</t>
  </si>
  <si>
    <t>Журавлев, формула (4.4)</t>
  </si>
  <si>
    <t>методическая константа</t>
  </si>
  <si>
    <t>φ_руд — нижняя граница</t>
  </si>
  <si>
    <t>Журавлев, разд. 4.2.2</t>
  </si>
  <si>
    <t>обычно 0,7…0,9</t>
  </si>
  <si>
    <t>φ_руд — верхняя граница</t>
  </si>
  <si>
    <t>Ограничение p₀ по крейсерскому режиму</t>
  </si>
  <si>
    <t>Скоростной напор q_крейс</t>
  </si>
  <si>
    <t>(4.4)</t>
  </si>
  <si>
    <t>в единицах методики: ρV²/(2g)</t>
  </si>
  <si>
    <t>p₀'' по крейсерскому режиму</t>
  </si>
  <si>
    <t>(4.3)</t>
  </si>
  <si>
    <t>p₀ окончательно не выбирается без посадочного ограничения</t>
  </si>
  <si>
    <t>Ограничение P̄₀ по крейсерскому режиму</t>
  </si>
  <si>
    <t>Скоростной коэффициент ξ</t>
  </si>
  <si>
    <t>(4.14)</t>
  </si>
  <si>
    <t>M_кр=0,78</t>
  </si>
  <si>
    <t>P̄₀'' при φ_руд=0,7</t>
  </si>
  <si>
    <t>кг/кг</t>
  </si>
  <si>
    <t>(4.13), H_кр&lt;11000 м</t>
  </si>
  <si>
    <t>верхняя граница в диапазоне φ_руд</t>
  </si>
  <si>
    <t>P̄₀'' при φ_руд=0,9</t>
  </si>
  <si>
    <t>нижняя граница в диапазоне φ_руд</t>
  </si>
  <si>
    <t>Взлётная конфигурация и качество</t>
  </si>
  <si>
    <t>разд. 2.2.1</t>
  </si>
  <si>
    <t>рабочее значение из главы 2</t>
  </si>
  <si>
    <t>k_взл, шасси убраны</t>
  </si>
  <si>
    <t>табл. 2.5; (2.34)</t>
  </si>
  <si>
    <t>0,65…0,75; принят середина диапазона 0,70</t>
  </si>
  <si>
    <t>k_омк</t>
  </si>
  <si>
    <t>(2.36)</t>
  </si>
  <si>
    <t>0,98 для ДТРД в хвостовой части фюзеляжа</t>
  </si>
  <si>
    <t>k_взл, шасси выпущены</t>
  </si>
  <si>
    <t>табл. 2.5; (2.35)</t>
  </si>
  <si>
    <t>0,50…0,60; принят середина диапазона 0,55</t>
  </si>
  <si>
    <t>K_max,взл ш.у</t>
  </si>
  <si>
    <t>(2.34)</t>
  </si>
  <si>
    <t>взлётная механизация, шасси убраны</t>
  </si>
  <si>
    <t>K_наб при одном отказавшем двигателе</t>
  </si>
  <si>
    <t>для 3-го этапа набора</t>
  </si>
  <si>
    <t>повтор (2.35)</t>
  </si>
  <si>
    <t>понадобится для ограничения по разбегу</t>
  </si>
  <si>
    <t>Ограничение P̄₀ по продолженному набору при отказе двигателя</t>
  </si>
  <si>
    <t>Количество двигателей n_дв</t>
  </si>
  <si>
    <t>шт.</t>
  </si>
  <si>
    <t>руководство Bombardier / выбранный первый аналог</t>
  </si>
  <si>
    <t>2 двигателя</t>
  </si>
  <si>
    <t>k_отк.дв</t>
  </si>
  <si>
    <t>(4.11)</t>
  </si>
  <si>
    <t>1,3…1,4; принят середина диапазона 1,35</t>
  </si>
  <si>
    <t>tg θ, 3-й этап набора</t>
  </si>
  <si>
    <t>табл. 4.3; (4.11)</t>
  </si>
  <si>
    <t>0,024 для двухдвигательного самолёта</t>
  </si>
  <si>
    <t>P̄₀' по отказу одного двигателя</t>
  </si>
  <si>
    <t>определяющее условие для пассажирского самолёта по методике</t>
  </si>
  <si>
    <t>Отклонение P̄₀' от выбранного первого аналога</t>
  </si>
  <si>
    <t>сравнение с первым аналогом</t>
  </si>
  <si>
    <t>не заменяет финальный выбор по (4.9)</t>
  </si>
  <si>
    <t>Незакрытые ограничения</t>
  </si>
  <si>
    <t>Требуемые данные</t>
  </si>
  <si>
    <t>Почему не подставлено</t>
  </si>
  <si>
    <t>Следствие</t>
  </si>
  <si>
    <t>Посадочное ограничение p₀'</t>
  </si>
  <si>
    <t>рассчитано</t>
  </si>
  <si>
    <t>V_з.п из Bombardier V_REF + статистический C_y max,пос</t>
  </si>
  <si>
    <t>V_REF сопоставлен V_з.п; класс двухсекционные щелевые закрылки и предкрылки подтверждён техническое руководство Bombardier; C_y max — оценка табл. 2.6</t>
  </si>
  <si>
    <t>(4.2)</t>
  </si>
  <si>
    <t>во всём диапазоне C_y получено p₀'&gt;p₀''; C58:C60</t>
  </si>
  <si>
    <t>Разбег P̄₀'''</t>
  </si>
  <si>
    <t>рабочие C_y max,взл и f_разб заданы ниже; взлётная дистанция не подменяется длиной разбега</t>
  </si>
  <si>
    <t>(4.16)</t>
  </si>
  <si>
    <t>число появится только после задания согласованная с источником l_разб</t>
  </si>
  <si>
    <t>p₀ текущего приближения</t>
  </si>
  <si>
    <t>принято</t>
  </si>
  <si>
    <t>p₀' и p₀''</t>
  </si>
  <si>
    <t>V_з.п закрыта; класс механизации подтверждён техническое руководство Bombardier; C_y max остаётся статистикой табл. 2.6</t>
  </si>
  <si>
    <t>(4.1)</t>
  </si>
  <si>
    <t>выбор устойчив по диапазону C_y; p₀ рассчитано в C62</t>
  </si>
  <si>
    <t>Окончательная P̄₀</t>
  </si>
  <si>
    <t>P̄₀', P̄₀'', P̄₀'''</t>
  </si>
  <si>
    <t>строгий максимум (4.9) требует l_разб; специальное замечание методики рекомендует для пассажирского самолёта ориентироваться на P̄₀'</t>
  </si>
  <si>
    <t>(4.9)</t>
  </si>
  <si>
    <t>строго не выбрана; методически рекомендуемая рабочая ветвь P̄₀'=C40</t>
  </si>
  <si>
    <t>Посадочное ограничение p₀' — расчёт по согласованная с источником V_з.п</t>
  </si>
  <si>
    <t>источник</t>
  </si>
  <si>
    <t>Максимальная посадочная масса m_пос^MAX</t>
  </si>
  <si>
    <t>Относительная максимальная посадочная масса m̄_0,пос,MAX</t>
  </si>
  <si>
    <t>обозначение к (4.2)</t>
  </si>
  <si>
    <t>m_пос^MAX / m_взл^MAX</t>
  </si>
  <si>
    <t>Опорная скорость захода Bombardier при закрылках 45°</t>
  </si>
  <si>
    <t>kt</t>
  </si>
  <si>
    <t>Bombardier: график посадочной скорости при максимальной посадочной массе</t>
  </si>
  <si>
    <t>опубликованный V_REF</t>
  </si>
  <si>
    <t>V_з.п по Bombardier V_REF</t>
  </si>
  <si>
    <t>Bombardier V_REF × 1,852; Журавлев + CS 25.125</t>
  </si>
  <si>
    <t>СООТВЕТСТВИЕ ИСТОЧНИКА И МЕТОДИКИ: V_REF — нижняя опорная скорость стабилизированного захода до 50 футов; не V_s и не скорость касания</t>
  </si>
  <si>
    <t>C_y max,пос — нижняя граница</t>
  </si>
  <si>
    <t>Журавлев, табл. 2.6</t>
  </si>
  <si>
    <t>класс: χ_1/4≈28°, двухсекционные щелевые закрылки и предкрылки; C_y=2,6…2,8 по методике</t>
  </si>
  <si>
    <t>C_y max,пос — рабочее среднее</t>
  </si>
  <si>
    <t>середина диапазона 2,6…2,8</t>
  </si>
  <si>
    <t>не фактический опубликованный C_y max CRJ900</t>
  </si>
  <si>
    <t>C_y max,пос — верхняя граница</t>
  </si>
  <si>
    <t>рабочая статистическая граница</t>
  </si>
  <si>
    <t>p₀' при нижней границе C_y max,пос</t>
  </si>
  <si>
    <t>чувствительность</t>
  </si>
  <si>
    <t>p₀' при рабочем C_y max,пос</t>
  </si>
  <si>
    <t>рабочая оценка</t>
  </si>
  <si>
    <t>p₀' при верхней границе C_y max,пос</t>
  </si>
  <si>
    <t>Порог C_y max,пос, при котором p₀'=p₀''</t>
  </si>
  <si>
    <t>из (4.1) и (4.2)</t>
  </si>
  <si>
    <t>если C_y max,пос выше порога, определяет крейсерское ограничение</t>
  </si>
  <si>
    <t>Принятое p₀=min(p₀',p₀'') для текущего приближения</t>
  </si>
  <si>
    <t>принято: класс механизации подтверждён техническое руководство Bombardier; диапазон C_y не меняет определяющее ограничение</t>
  </si>
  <si>
    <t>Источник по механизации</t>
  </si>
  <si>
    <t>техническое руководство Bombardier CRJ700/900</t>
  </si>
  <si>
    <t>χ_1/4≈28°; двухсекционные щелевые закрылки и предкрылки</t>
  </si>
  <si>
    <t>Bombardier: конструкция планера</t>
  </si>
  <si>
    <t>конфигурация CRJ900 по источнику; C_y max остаётся статистической оценкой табл. 2.6</t>
  </si>
  <si>
    <t>Ограничение P̄₀''' по длине разбега — подготовка (4.16)</t>
  </si>
  <si>
    <t>Опубликованная Взлётная дистанция Bombardier при максимальной взлётной массе и МСА</t>
  </si>
  <si>
    <t>Bombardier: график взлётной дистанции</t>
  </si>
  <si>
    <t>только справочная информация: взлётная дистанция ≠ l_разб; график Bombardier используется только как контекст</t>
  </si>
  <si>
    <t>Требуемая методикой длина разбега l_разб</t>
  </si>
  <si>
    <t>ТТТ; (4.16)</t>
  </si>
  <si>
    <t>методика: задаётся в ТТТ; требуется согласованная с источником разбег аналога либо согласованное проектное ТТТ</t>
  </si>
  <si>
    <t>C_y max,взл — нижняя граница</t>
  </si>
  <si>
    <t>подтверждённый класс: 24…28°, двухщелевой закрылок + предкрылок; C_y по методической статистике</t>
  </si>
  <si>
    <t>C_y max,взл — рабочее среднее</t>
  </si>
  <si>
    <t>середина диапазона 2,2…2,4</t>
  </si>
  <si>
    <t>не опубликованный C_y max CRJ900</t>
  </si>
  <si>
    <t>C_y max,взл — верхняя граница</t>
  </si>
  <si>
    <t>Коэффициент трения при разбеге f_разб</t>
  </si>
  <si>
    <t>Вольсков 2016, табл. 6, с. 19</t>
  </si>
  <si>
    <t>рабочее значение: сухое бетонное покрытие; не характеристика Bombardier</t>
  </si>
  <si>
    <t>(2.35), ссылка на C35</t>
  </si>
  <si>
    <t>взлётная механизация, шасси выпущены</t>
  </si>
  <si>
    <t>P̄₀''' по заданной длине разбега</t>
  </si>
  <si>
    <t>(4.16), формула методики</t>
  </si>
  <si>
    <t>формула подготовлена; результат пуст, пока C67 не задана</t>
  </si>
  <si>
    <t>Чувствительность (4.16): порог l_разб, при котором P̄₀'''=P̄₀'</t>
  </si>
  <si>
    <t>Порог l_разб при C_y max,взл=нижняя граница</t>
  </si>
  <si>
    <t>из (4.9), (4.16)</t>
  </si>
  <si>
    <t>если фактический l_разб выше порога, ограничение по отказу двигателя жёстче</t>
  </si>
  <si>
    <t>Порог l_разб при рабочем C_y max,взл</t>
  </si>
  <si>
    <t>рабочая граница чувствительности; не заменяет исходное l_разб</t>
  </si>
  <si>
    <t>Порог l_разб при C_y max,взл=верхняя граница</t>
  </si>
  <si>
    <t>если фактический l_разб ниже порога, (4.16) становится определяющей</t>
  </si>
  <si>
    <t>Чувствительность (4.2): порог V_з.п, при котором p₀'=p₀''</t>
  </si>
  <si>
    <t>Порог V_з.п при C_y max,пос=нижняя граница</t>
  </si>
  <si>
    <t>из (4.1), (4.2)</t>
  </si>
  <si>
    <t>выше порога p₀'&gt;p₀''; ниже порога посадочное ограничение становится определяющим</t>
  </si>
  <si>
    <t>Порог V_з.п при рабочем C_y max,пос</t>
  </si>
  <si>
    <t>граница чувствительности; трактовка V_з.п закрыта по Bombardier V_REF + CS 25.125</t>
  </si>
  <si>
    <t>Порог V_з.п при C_y max,пос=верхняя граница</t>
  </si>
  <si>
    <t>принятое V_з.п=V_REF выше всех трёх порогов; расчёт оставлен как проверка чувствительности</t>
  </si>
  <si>
    <t>Раздел 4.3 — площадь крыла и подготовка суммарной взлётной тяги</t>
  </si>
  <si>
    <t>Взлётная масса предыдущего приближения m₀¹</t>
  </si>
  <si>
    <t>ссылка на 06_Масса_I!C47</t>
  </si>
  <si>
    <t>масса первого приближения</t>
  </si>
  <si>
    <t>Принятая нагрузка на крыло p₀</t>
  </si>
  <si>
    <t>(4.1), ссылка на C62</t>
  </si>
  <si>
    <t>выбрано для текущего приближения; устойчиво по диапазону C_y max,пос</t>
  </si>
  <si>
    <t>(4.17), формула методики</t>
  </si>
  <si>
    <t>текущее приближение; пересчитается автоматически после изменения m₀ или p₀</t>
  </si>
  <si>
    <t>Отклонение S от площади крыла первого аналога</t>
  </si>
  <si>
    <t>контроль относительно аналога</t>
  </si>
  <si>
    <t>не критерий выбора, только проверка порядка величины</t>
  </si>
  <si>
    <t>Крейсерское ограничение P̄₀'' для (4.9)</t>
  </si>
  <si>
    <t>консервативная граница диапазона φ_руд</t>
  </si>
  <si>
    <t>при меньшем φ_руд требуемая тяговооружённость выше</t>
  </si>
  <si>
    <t>Окончательная P̄₀=max(P̄₀',P̄₀'',P̄₀''')</t>
  </si>
  <si>
    <t>не определено по строгому (4.9): остаётся пустой до задания l_разб; рекомендуемая рабочая ветвь методики — P̄₀'=C40</t>
  </si>
  <si>
    <t>Суммарная взлётная тяга P₀</t>
  </si>
  <si>
    <t>кгс</t>
  </si>
  <si>
    <t>(4.18), формула методики</t>
  </si>
  <si>
    <t>строгий P₀ по (4.9); рабочий P₀ для дальнейшего расчёта находится ниже в выбор расчётного варианта</t>
  </si>
  <si>
    <t>перевод кгс → кН через g=9,8</t>
  </si>
  <si>
    <t>для сопоставления с суммарной тягой выбранного первого аналога</t>
  </si>
  <si>
    <t>Суммарная взлётная тяга первого аналога</t>
  </si>
  <si>
    <t>ссылка на 02_Параметры!C8</t>
  </si>
  <si>
    <t>GE CF34-8C / руководство Bombardier</t>
  </si>
  <si>
    <t>Отклонение P₀ от суммарной тяги первого аналога</t>
  </si>
  <si>
    <t>строгий контроль относительно аналога появится после закрытия (4.16)</t>
  </si>
  <si>
    <t>Выбор расчётной тяговооружённости и строгая контрольная проверка</t>
  </si>
  <si>
    <t>Решение</t>
  </si>
  <si>
    <t>Статус / допустимые решения</t>
  </si>
  <si>
    <t>Правило выбора P̄₀</t>
  </si>
  <si>
    <t>по условию отказа одного двигателя</t>
  </si>
  <si>
    <t>разд. 4.2: один отказавший двигатель основной вариант для пассажирского самолёта; строгий (4.9) при полном наборе</t>
  </si>
  <si>
    <t>основной вариант — условие отказа одного двигателя; при наличии длины разбега проверяется полный максимум (4.9)</t>
  </si>
  <si>
    <t>Выбранная P̄₀</t>
  </si>
  <si>
    <t>рабочая ветвь 4.2 / строгий (4.9)</t>
  </si>
  <si>
    <t>принято условие отказа одного двигателя; строгая проверка ожидает длину разбега</t>
  </si>
  <si>
    <t>Выбранная суммарная взлётная тяга P₀</t>
  </si>
  <si>
    <t>появляется только после выбора P̄₀</t>
  </si>
  <si>
    <t>перевод кгс → кН</t>
  </si>
  <si>
    <t>используется выбранной ветвью силовой установки</t>
  </si>
  <si>
    <t>Глава 5 — Масса самолёта во втором приближении: закрытые независимые блоки</t>
  </si>
  <si>
    <t>Взлётная масса предыдущего приближения m₀^(i-1)</t>
  </si>
  <si>
    <t>для второго приближения используется выбранное m₀¹</t>
  </si>
  <si>
    <t>Ресурс каркасной конструкции T_рес.констр</t>
  </si>
  <si>
    <t>лётн.ч</t>
  </si>
  <si>
    <t>сертифицированный FAA ресурс</t>
  </si>
  <si>
    <t>CRJ900 CL-600-2D24: сертифицированный ресурс 110000 ч лётного времени; это не экономический срок службы</t>
  </si>
  <si>
    <t>Коэффициент схемы оперения k_оп</t>
  </si>
  <si>
    <t>Журавлев, табл. 5.9</t>
  </si>
  <si>
    <t>Т-образное оперение → 1,25</t>
  </si>
  <si>
    <t>Поправка по ресурсу E_оп</t>
  </si>
  <si>
    <t>(5.8), формула методики</t>
  </si>
  <si>
    <t>расчёт по ресурсу</t>
  </si>
  <si>
    <t>Относительная масса оперения m̄_оп</t>
  </si>
  <si>
    <t>(5.7), формула методики</t>
  </si>
  <si>
    <t>диапазон 0,015…0,03; результат немного выше верхней статистической границы — не нормируется вручную</t>
  </si>
  <si>
    <t>Масса шасси</t>
  </si>
  <si>
    <t>Коэффициент числа главных опор k_ш1</t>
  </si>
  <si>
    <t>Журавлев, табл. 5.10</t>
  </si>
  <si>
    <t>две основные опоры → 1,0</t>
  </si>
  <si>
    <t>Коэффициент схемы k_ш2</t>
  </si>
  <si>
    <t>Журавлев, табл. 5.11</t>
  </si>
  <si>
    <t>низкоплан, d_ф&lt;4 м → 1,0</t>
  </si>
  <si>
    <t>Относительная масса шасси m̄_ш</t>
  </si>
  <si>
    <t>(5.9), формула методики</t>
  </si>
  <si>
    <t>методический диапазон 0,03…0,05</t>
  </si>
  <si>
    <t>Оборудование и управление</t>
  </si>
  <si>
    <t>Максимальное число пассажиров n_пас^MAX</t>
  </si>
  <si>
    <t>руководство Bombardier / ТТТ</t>
  </si>
  <si>
    <t>одноклассная компоновка</t>
  </si>
  <si>
    <t>Относительная масса оборудования и управления m̄_об.упр</t>
  </si>
  <si>
    <t>(5.14), формула методики</t>
  </si>
  <si>
    <t>методический диапазон 0,08…0,14</t>
  </si>
  <si>
    <t>Масса фюзеляжа — опубликованный диаметр первого аналога и расчёт (5.6)</t>
  </si>
  <si>
    <t>Длина фюзеляжа l_ф</t>
  </si>
  <si>
    <t>1-й аналог</t>
  </si>
  <si>
    <t>длина фюзеляжа по источнику: Bombardier CRJ900 (CL-600-2D24)</t>
  </si>
  <si>
    <t>Опубликованный диаметр d_ф</t>
  </si>
  <si>
    <t>круглое рабочее сечение; отдельная реконструкция не требуется</t>
  </si>
  <si>
    <t>Модель сечения</t>
  </si>
  <si>
    <t>КРУГЛОЕ</t>
  </si>
  <si>
    <t>круглое сечение по опубликованному диаметру</t>
  </si>
  <si>
    <t>геометрия самолёта из исходных данных</t>
  </si>
  <si>
    <t>используется опубликованный максимальный диаметр</t>
  </si>
  <si>
    <t>Радиус</t>
  </si>
  <si>
    <t>d_ф/2</t>
  </si>
  <si>
    <t>геометрический контроль</t>
  </si>
  <si>
    <t>Двухкруглая реконструкция</t>
  </si>
  <si>
    <t>не применяется</t>
  </si>
  <si>
    <t>первый аналог имеет опубликованный рабочий диаметр</t>
  </si>
  <si>
    <t>Площадь миделя S_м.ф</t>
  </si>
  <si>
    <t>πd_ф²/4</t>
  </si>
  <si>
    <t>контрольная геометрическая производная</t>
  </si>
  <si>
    <t>Рабочий диаметр d_ф</t>
  </si>
  <si>
    <t>опубликованный диаметр первого аналога</t>
  </si>
  <si>
    <t>по исходному источнику</t>
  </si>
  <si>
    <t>Журавлев, табл. 5.5</t>
  </si>
  <si>
    <t>компоновочная поправка</t>
  </si>
  <si>
    <t>Журавлев, табл. 5.6</t>
  </si>
  <si>
    <t>Статус k_ф3</t>
  </si>
  <si>
    <t>подтверждено</t>
  </si>
  <si>
    <t>принятое исходное значение методики</t>
  </si>
  <si>
    <t>основание приведено в исходных данных проекта</t>
  </si>
  <si>
    <t>Журавлев, табл. 5.7</t>
  </si>
  <si>
    <t>багажная компоновочная поправка</t>
  </si>
  <si>
    <t>Показатель степени k_ф5</t>
  </si>
  <si>
    <t>Журавлев, табл. 5.8</t>
  </si>
  <si>
    <t>d_ф≤4 м → 0,743</t>
  </si>
  <si>
    <t>Удлинение фюзеляжа λ_ф</t>
  </si>
  <si>
    <t>l_ф/d_ф</t>
  </si>
  <si>
    <t>общая расчётная ветвь</t>
  </si>
  <si>
    <t>Коэффициент k_ф1</t>
  </si>
  <si>
    <t>Журавлев, табл. 5.4</t>
  </si>
  <si>
    <t>по компоновке первого аналога</t>
  </si>
  <si>
    <t>Относительная масса фюзеляжа m̄_ф</t>
  </si>
  <si>
    <t>(5.6), формула методики</t>
  </si>
  <si>
    <t>расчёт по принятые исходные данные методики</t>
  </si>
  <si>
    <t>Масса крыла — однозначно закрытые исходные параметры (5.2)</t>
  </si>
  <si>
    <t>Ресурсный коэффициент k_к1</t>
  </si>
  <si>
    <t>Журавлев, табл. 5.1</t>
  </si>
  <si>
    <t>ресурс CRJ900 110000 ч выходит за диапазон табл. 5.1; 1,05 — предварительно принятая верхняя табличная граница, требуется согласование</t>
  </si>
  <si>
    <t>m₀^(i-1) для расчёта перегрузки</t>
  </si>
  <si>
    <t>ссылка на C5</t>
  </si>
  <si>
    <t>первое приближение массы</t>
  </si>
  <si>
    <t>Расчётное n_max^э до ограничения</t>
  </si>
  <si>
    <t>(5.3′), формула методики</t>
  </si>
  <si>
    <t>получается ниже нормативного минимума 2,5</t>
  </si>
  <si>
    <t>Принятое n_max^э</t>
  </si>
  <si>
    <t>ограничение (5.3″)</t>
  </si>
  <si>
    <t>max(2,5; n_max^э,расч) = 2,5</t>
  </si>
  <si>
    <t>Расчётная перегрузка n_p</t>
  </si>
  <si>
    <t>(5.3), формула методики</t>
  </si>
  <si>
    <t>n_p = 1,5 n_max^э</t>
  </si>
  <si>
    <t>Корневая хорда крыла b₀</t>
  </si>
  <si>
    <t>Концевая хорда крыла b_k</t>
  </si>
  <si>
    <t>Сужение η=b₀/b_k</t>
  </si>
  <si>
    <t>геометрическое определение</t>
  </si>
  <si>
    <t>отношение корневой хорды к концевой по обозначениям Журавлева</t>
  </si>
  <si>
    <t>Диапазон k_к2</t>
  </si>
  <si>
    <t>Журавлев, табл. 5.2 + техническое руководство Bombardier</t>
  </si>
  <si>
    <t>1,4…1,6: CRJ900 имеет обтекатели сопряжения крыла с фюзеляжем, предкрылки, интерцепторы и двухсекционные щелевые закрылки; точной строки этой комбинации в табл. 5.2 нет</t>
  </si>
  <si>
    <t>Диапазон k_к3</t>
  </si>
  <si>
    <t>Журавлев, табл. 5.3 + техническое руководство Bombardier</t>
  </si>
  <si>
    <t>1,00…1,20: топливо в крыле подтверждено, но тип бака/герметизации CRJ900 не закрыт; показан полный табличный диапазон</t>
  </si>
  <si>
    <t>Относительная толщина у борта C̄₀</t>
  </si>
  <si>
    <t>требуется первый аналог</t>
  </si>
  <si>
    <t>численное значение в доступных первичных материалах пока не найдено</t>
  </si>
  <si>
    <t>μ=C̄₀/C̄_k</t>
  </si>
  <si>
    <t>требуется C̄₀ и C̄_k</t>
  </si>
  <si>
    <t>для μ нужны C̄₀ и C̄_k; χ_1/4≈28° определена по плановой геометрии Bombardier</t>
  </si>
  <si>
    <t>Коэффициент размещения двигателей k_к.с.у</t>
  </si>
  <si>
    <t>(5.5), CRJ900: двигатели на фюзеляже</t>
  </si>
  <si>
    <t>k_к.с.у=0: два CF34-8C5 установлены на задней части фюзеляжа</t>
  </si>
  <si>
    <t>Коэффициент разгрузки крыла топливом φ</t>
  </si>
  <si>
    <t>(5.5), формула методики</t>
  </si>
  <si>
    <t>в формуле используется именно m̄_T из (3.2): 06_Масса_I!C34; при топливе в двух консолях m̄_T,1 консоли=0,5 m̄_T</t>
  </si>
  <si>
    <t>Силовая установка — закрытые входы и рекомендуемая рабочая ветвь P̄₀=P̄₀′</t>
  </si>
  <si>
    <t>Вес CF34-8C5 G_дв,ан</t>
  </si>
  <si>
    <t>фунт</t>
  </si>
  <si>
    <t>Масса двигателя: 2450 фунтов</t>
  </si>
  <si>
    <t>Максимальная взлётная тяга CF34-8C5 с APR</t>
  </si>
  <si>
    <t>фунт-сила</t>
  </si>
  <si>
    <t>Максимальная взлётная тяга с автоматическим увеличением тяги: 14500 фунтов силы</t>
  </si>
  <si>
    <t>Удельный вес двигателя аналога γ_дв,1 сам-ан</t>
  </si>
  <si>
    <t>контроль по аналогу к (5.11), формула методики</t>
  </si>
  <si>
    <t>численно отношение фунт/фунт-сила эквивалентно весовому отношению кгс/кгс при стандартном ускорении свободного падения</t>
  </si>
  <si>
    <t>Условная тяговооружённость P̄₀=P̄₀′</t>
  </si>
  <si>
    <t>условие отказа двигателя (4.11)</t>
  </si>
  <si>
    <t>рабочая ветвь прямо рекомендована методикой для пассажирского самолёта; строгий финал (4.9) всё ещё требует (4.16)</t>
  </si>
  <si>
    <t>Масса предыдущего приближения m₀^(i-1)</t>
  </si>
  <si>
    <t>первое приближение</t>
  </si>
  <si>
    <t>Журавлев, расчётная константа</t>
  </si>
  <si>
    <t>используется в (4.18)</t>
  </si>
  <si>
    <t>Число двигателей n_дв</t>
  </si>
  <si>
    <t>два CF34-8C5</t>
  </si>
  <si>
    <t>Степень повышения давления π_k*</t>
  </si>
  <si>
    <t>CF34-8C5 степень повышения давления 28,5</t>
  </si>
  <si>
    <t>степень двухконтурности 5:1</t>
  </si>
  <si>
    <t>k_с.у.1</t>
  </si>
  <si>
    <t>Журавлев, табл. 5.12</t>
  </si>
  <si>
    <t>два двигателя в хвостовой части → 1,0</t>
  </si>
  <si>
    <t>k_с.у.2</t>
  </si>
  <si>
    <t>Журавлев, табл. 5.13</t>
  </si>
  <si>
    <t>M&lt;1, круглые воздухозаборники и сопла → 0,0236</t>
  </si>
  <si>
    <t>k_дв.фор</t>
  </si>
  <si>
    <t>Журавлев, (5.13)</t>
  </si>
  <si>
    <t>двигатель без форсажной камеры → 1</t>
  </si>
  <si>
    <t>Число двигателей с реверсом n_дв.рев</t>
  </si>
  <si>
    <t>техническое и аэропортовое руководства Bombardier</t>
  </si>
  <si>
    <t>принятая трактовка компоновки: система реверса тяги и два двигателя → n_дв.рев=2</t>
  </si>
  <si>
    <t>Суммарная взлётная тяга P₀ — рабочая ветвь P̄₀=P̄₀′</t>
  </si>
  <si>
    <t>методически рекомендуемая рабочая ветвь; строгий (4.9) остаётся не определено</t>
  </si>
  <si>
    <t>Тяга одного двигателя P₀¹</t>
  </si>
  <si>
    <t>(5.12), формула методики</t>
  </si>
  <si>
    <t>условный сценарий</t>
  </si>
  <si>
    <t>Расчётный удельный вес двигателя γ_дв</t>
  </si>
  <si>
    <t>(5.11), формула методики</t>
  </si>
  <si>
    <t>сравнивается с γ двигателя первого аналога</t>
  </si>
  <si>
    <t>Отклонение γ_дв от двигателя аналога</t>
  </si>
  <si>
    <t>сравнение по требованию разд. 5.1.5.1</t>
  </si>
  <si>
    <t>отрицательное значение означает меньший расчётный удельный вес</t>
  </si>
  <si>
    <t>Коэффициент массы силовой установки k_с.у</t>
  </si>
  <si>
    <t>(5.13), формула методики</t>
  </si>
  <si>
    <t>Относительная масса силовой установки m̄_с.у</t>
  </si>
  <si>
    <t>(5.10), формула методики</t>
  </si>
  <si>
    <t>рабочая один отказавший двигатель-ветвь; выбор расчётного варианта использует её до появления полного строгого (4.9)</t>
  </si>
  <si>
    <t>Сравнительный вариант по разрешённой методикой замене γ_дв на значение двигателя аналога</t>
  </si>
  <si>
    <t>k_с.у при γ_дв=γ_дв,ан</t>
  </si>
  <si>
    <t>сравнительный вариант; сама методика допускает замену γ_дв только после анализа и согласования с преподавателем</t>
  </si>
  <si>
    <t>m̄_с.у при γ_дв=γ_дв,ан</t>
  </si>
  <si>
    <t>сравнительный вариант при той же рабочей P̄₀=P̄₀′; НЕ выбран для (5.15)</t>
  </si>
  <si>
    <t>Отклонение m̄_с.у варианта γ_дв,ан от расчёта (5.11)</t>
  </si>
  <si>
    <t>сравнительный анализ</t>
  </si>
  <si>
    <t>показывает чувствительность результата к разрешённому методикой выбору γ_дв</t>
  </si>
  <si>
    <t>Статус блоков второго приближения</t>
  </si>
  <si>
    <t>Зависимость</t>
  </si>
  <si>
    <t>Почему не завершено</t>
  </si>
  <si>
    <t>частично</t>
  </si>
  <si>
    <t>c̄₀</t>
  </si>
  <si>
    <t>для ветви Арепьева 5.1.1.2 закрыты все коэффициенты; остаётся только корневая относительная толщина</t>
  </si>
  <si>
    <t>5.1.1.2.1</t>
  </si>
  <si>
    <t>после задания c̄₀ автоматически войдёт в m̄_кон; (5.2) остаётся независимой проверкой</t>
  </si>
  <si>
    <t>закрыто</t>
  </si>
  <si>
    <t>d_ф,экв; k_ф2=k_ф3=k_ф4=0</t>
  </si>
  <si>
    <t>для круглого CRJ900 d_ф берётся непосредственно из руководства Bombardier; k_ф2=0 и k_ф3=0 подтверждены техническим руководством Bombardier, k_ф4=0 — удерживающая сетка багажного отсека по руководству Bombardier</t>
  </si>
  <si>
    <t>(5.6)</t>
  </si>
  <si>
    <t>одно m̄_ф определено и доступно для (5.1)</t>
  </si>
  <si>
    <t>закрыто для текущего расчёта</t>
  </si>
  <si>
    <t>P̄₀=P̄₀′ по специальному замечанию разд. 4.2; γ_дв по (5.11)</t>
  </si>
  <si>
    <t>рабочая ветвь силовой установки замкнута; строгий (4.9) остаётся отдельным контрольная проверка до появления l_разб</t>
  </si>
  <si>
    <t>(5.10)–(5.13)</t>
  </si>
  <si>
    <t>в (5.15) используется рабочая ветвь; полный (4.9) автоматически заменит её при появлении l_разб</t>
  </si>
  <si>
    <t>m̄_кр, m̄_ф, m̄_оп, m̄_ш</t>
  </si>
  <si>
    <t>m̄_ф, m̄_оп и m̄_ш закрыты; отсутствует только m̄_кр</t>
  </si>
  <si>
    <t>(5.1)</t>
  </si>
  <si>
    <t>диагностическая (5.1) вычисляется по сетке; выбор расчётного варианта замкнёт финал после задания c̄₀</t>
  </si>
  <si>
    <t>Взлётная масса второго приближения</t>
  </si>
  <si>
    <t>m̄_кон, m̄_с.у, m̄_об.упр, m̄_топ</t>
  </si>
  <si>
    <t>диагностическая оболочка рассчитана; итоговый выбор расчётного варианта ждёт только c̄₀; топливо (5.15) по основной вариант берётся из (3.2)</t>
  </si>
  <si>
    <t>(5.15)</t>
  </si>
  <si>
    <t>выбор расчётного варианта ниже автоматически выдаст m₀² и ε после закрытия решений; при несходимости повторить с п. 4.3</t>
  </si>
  <si>
    <t>Проверочная геометрия фюзеляжа первого аналога</t>
  </si>
  <si>
    <t>Модель поперечного сечения</t>
  </si>
  <si>
    <t>circular_published_diameter</t>
  </si>
  <si>
    <t>по исходной геометрии</t>
  </si>
  <si>
    <t>отдельная реконструкция по формуле методики не требуется</t>
  </si>
  <si>
    <t>Опубликованный диаметр</t>
  </si>
  <si>
    <t>первый аналог</t>
  </si>
  <si>
    <t>рабочий d_ф совпадает с опубликованным диаметром</t>
  </si>
  <si>
    <t>Площадь круглого миделя</t>
  </si>
  <si>
    <t>двухкруглая реконструкция не применяется</t>
  </si>
  <si>
    <t>используется строкой 26</t>
  </si>
  <si>
    <t>используется строкой 27</t>
  </si>
  <si>
    <t>Смещение линии пересечения</t>
  </si>
  <si>
    <t>не применимо</t>
  </si>
  <si>
    <t>круглое сечение не требует пересечения окружностей</t>
  </si>
  <si>
    <t>Масса крыла — альтернативный метод Арепьева (5.1.1.2), частично замкнут</t>
  </si>
  <si>
    <t>Экспертная поправка E_кр</t>
  </si>
  <si>
    <t>Арепьев (13.12)</t>
  </si>
  <si>
    <t>современный уровень → E_кр=1</t>
  </si>
  <si>
    <t>Коэффициент класса k₁</t>
  </si>
  <si>
    <t>Ефимов + Bombardier диаграмма «коммерческая нагрузка — дальность»</t>
  </si>
  <si>
    <t>БМС: L_MAX КН≈1300 морских миль≈2408 км → k₁=1,00</t>
  </si>
  <si>
    <t>Коэффициент законцовок k₂</t>
  </si>
  <si>
    <t>Арепьев, с. 57</t>
  </si>
  <si>
    <t>специальные интегрированные законцовки → 1,066</t>
  </si>
  <si>
    <t>Коэффициент компоновки двигателей k₃</t>
  </si>
  <si>
    <t>двигатели на фюзеляже → 0</t>
  </si>
  <si>
    <t>Ресурс конструкции Tₚ</t>
  </si>
  <si>
    <t>полёт</t>
  </si>
  <si>
    <t>CRJ900 CL-600-2D24: 80000 циклов полёта; отдельно от 110000 ч лётного времени</t>
  </si>
  <si>
    <t>Относительная толщина у борта c̄₀</t>
  </si>
  <si>
    <t>первый самолёт-аналог</t>
  </si>
  <si>
    <t>относительная толщина у борта пока не подтверждена</t>
  </si>
  <si>
    <t>Стреловидность χ₁/₄</t>
  </si>
  <si>
    <t>град</t>
  </si>
  <si>
    <t>плановая геометрия Bombardier</t>
  </si>
  <si>
    <t>графическое по источнику значение ≈28°</t>
  </si>
  <si>
    <t>Удлинение крыла λ</t>
  </si>
  <si>
    <t>принятое значение первого аналога</t>
  </si>
  <si>
    <t>Сужение η</t>
  </si>
  <si>
    <t>b₀/bₖ</t>
  </si>
  <si>
    <t>руководство Bombardier: 4,85/1,89</t>
  </si>
  <si>
    <t>Коэффициент разгрузки φ_A</t>
  </si>
  <si>
    <t>Арепьев / 5.1.1.2.3</t>
  </si>
  <si>
    <t>использует m̄_T из (3.2), не массу крыла</t>
  </si>
  <si>
    <t>k₄</t>
  </si>
  <si>
    <t>крыло с предкрылками</t>
  </si>
  <si>
    <t>k₅</t>
  </si>
  <si>
    <t>k₆</t>
  </si>
  <si>
    <t>двухщелевые закрылки</t>
  </si>
  <si>
    <t>k₇</t>
  </si>
  <si>
    <t>Носовая часть крыла m̄_кр2</t>
  </si>
  <si>
    <t>5.1.1.2.4</t>
  </si>
  <si>
    <t>вычисляется независимо от c̄₀ и k₁</t>
  </si>
  <si>
    <t>Хвостовая часть крыла m̄_кр3</t>
  </si>
  <si>
    <t>5.1.1.2.5</t>
  </si>
  <si>
    <t>Двигатели на крыле n_дв,кр</t>
  </si>
  <si>
    <t>подтверждённая компоновка CRJ900</t>
  </si>
  <si>
    <t>вход 5.1.1.2.6</t>
  </si>
  <si>
    <t>Двигатели на фюзеляже n_дв,ф</t>
  </si>
  <si>
    <t>Главные опоры на крыле n_ш,кр</t>
  </si>
  <si>
    <t>Главные опоры на фюзеляже n_ш,ф</t>
  </si>
  <si>
    <t>Узлы стыка m̄_кр4</t>
  </si>
  <si>
    <t>5.1.1.2.6</t>
  </si>
  <si>
    <t>для CRJ900 вклад двигателей 0, главных опор 0,009</t>
  </si>
  <si>
    <t>Кессонная часть m̄_кр1</t>
  </si>
  <si>
    <t>Арепьев (13.12) / 5.1.1.2.2</t>
  </si>
  <si>
    <t>требуется c̄₀; k₁=1,00 и Tₚ=80000 полётов определены</t>
  </si>
  <si>
    <t>Итоговая масса крыла m̄_кр^(A)</t>
  </si>
  <si>
    <t>E_кр·(m̄_кр1+m̄_кр2+m̄_кр3+m̄_кр4); не используется в (5.15) до закрытия входов</t>
  </si>
  <si>
    <t>Состояние</t>
  </si>
  <si>
    <t>по исходным данным</t>
  </si>
  <si>
    <t>не определено: требуется корневая относительная толщина; выполнена оценка чувствительности</t>
  </si>
  <si>
    <t>Оценка чувствительности метода Арепьева к c̄₀</t>
  </si>
  <si>
    <t>m̄_кр1 по формуле</t>
  </si>
  <si>
    <t>m̄_кр по формуле</t>
  </si>
  <si>
    <t>m̄_кр1, контроль</t>
  </si>
  <si>
    <t>m̄_кр, контроль</t>
  </si>
  <si>
    <t>только для оценки чувствительности — значение c̄₀ не является данными CRJ900 и не выбирает итоговую массу крыла</t>
  </si>
  <si>
    <t>Оценка чувствительности (5.1), (5.15), (5.16) по c̄₀</t>
  </si>
  <si>
    <t>m̄_кр^(A)</t>
  </si>
  <si>
    <t>m₀: (3.2), γ расч.</t>
  </si>
  <si>
    <t>ε</t>
  </si>
  <si>
    <t>m₀: (3.2), γ анал.</t>
  </si>
  <si>
    <t>m₀: выбранное топл., γ расч.</t>
  </si>
  <si>
    <t>m₀: выбранное топл., γ анал.</t>
  </si>
  <si>
    <t>только для оценки чувствительности — c̄₀ не задана; основной вариант топлива принят по формуле (3.2), вариант раздела 3 показан для сравнения; при несходимости расчёт повторяется с п. 4.3</t>
  </si>
  <si>
    <t>Выбор исходных решений для второго приближения</t>
  </si>
  <si>
    <t>Решение / формула</t>
  </si>
  <si>
    <t>Относительная толщина крыла у борта c̄₀</t>
  </si>
  <si>
    <t>первый самолёт-аналог / решение руководителя</t>
  </si>
  <si>
    <t>единственный незакрытый вход альтернативного метода Арепьева</t>
  </si>
  <si>
    <t>Кессонная часть крыла m̄_кр1^(A)</t>
  </si>
  <si>
    <t>формула методики</t>
  </si>
  <si>
    <t>Выбранная относительная масса крыла m̄_кр^(A)</t>
  </si>
  <si>
    <t>выбранная ветвь замыкания m₀²; (5.2) — независимая проверка</t>
  </si>
  <si>
    <t>Выбранная тяговооружённость P̄₀</t>
  </si>
  <si>
    <t>выбор расчётного варианта листа 07_p0_P0</t>
  </si>
  <si>
    <t>строгий (4.9) либо согласованный P̄₀=P̄₀′</t>
  </si>
  <si>
    <t>Правило выбора удельного веса двигателя γ_дв</t>
  </si>
  <si>
    <t>по формуле (5.11)</t>
  </si>
  <si>
    <t>разд. 5.1.5.1</t>
  </si>
  <si>
    <t>основной вариант — расчёт по (5.11); значение двигателя-аналога используется только после согласования</t>
  </si>
  <si>
    <t>Суммарная тяга P₀ для выбранной P̄₀</t>
  </si>
  <si>
    <t>(4.18)</t>
  </si>
  <si>
    <t>(5.12)</t>
  </si>
  <si>
    <t>Расчётный γ_дв</t>
  </si>
  <si>
    <t>(5.11)</t>
  </si>
  <si>
    <t>k_с.у при расчётном γ_дв</t>
  </si>
  <si>
    <t>m̄_с.у при расчётном γ_дв</t>
  </si>
  <si>
    <t>(5.10)</t>
  </si>
  <si>
    <t>k_с.у при γ_дв аналога</t>
  </si>
  <si>
    <t>m̄_с.у при γ_дв аналога</t>
  </si>
  <si>
    <t>Выбранная относительная масса силовой установки m̄_с.у</t>
  </si>
  <si>
    <t>принятый вариант</t>
  </si>
  <si>
    <t>выбрано</t>
  </si>
  <si>
    <t>локальная ссылка для выбор расчётного варианта</t>
  </si>
  <si>
    <t>Служебная нагрузка m_сл</t>
  </si>
  <si>
    <t>m̄_T по формуле (3.2)</t>
  </si>
  <si>
    <t>06_Масса_I!C34</t>
  </si>
  <si>
    <t>m̄_T, выбранная в разделе 3</t>
  </si>
  <si>
    <t>Правило выбора топлива в (5.15)</t>
  </si>
  <si>
    <t>по формуле (3.2)</t>
  </si>
  <si>
    <t>глава 5: разгрузка крыла и пояснение к (5.15) → (3.2)</t>
  </si>
  <si>
    <t>основной вариант — формула (3.2); результат раздела 3 оставлен как альтернативный вариант</t>
  </si>
  <si>
    <t>Выбранная относительная масса топлива m̄_T</t>
  </si>
  <si>
    <t>основной вариант / возможный альтернативный вариант</t>
  </si>
  <si>
    <t>входит в (5.15)</t>
  </si>
  <si>
    <t>Относительная масса конструкции m̄_кон</t>
  </si>
  <si>
    <t>Взлётная масса второго приближения m₀²</t>
  </si>
  <si>
    <t>Критерий сходимости ε</t>
  </si>
  <si>
    <t>(5.16)</t>
  </si>
  <si>
    <t>0,10…0,15 по пособию</t>
  </si>
  <si>
    <t>Состояние второго приближения</t>
  </si>
  <si>
    <t>не определено: отсутствуют исходные решения</t>
  </si>
  <si>
    <t>при ε&gt;0,15 повторить с п. 4.3</t>
  </si>
  <si>
    <t>Состояние расчёта</t>
  </si>
  <si>
    <t>не определено: корневая относительная толщина крыла</t>
  </si>
  <si>
    <t>выбор расчётного варианта</t>
  </si>
  <si>
    <t>неопределённые исходные данные не подменяются автоматически</t>
  </si>
  <si>
    <t>Принятая допустимая погрешность ε для (5.16)</t>
  </si>
  <si>
    <t>(5.16), решение руководителя</t>
  </si>
  <si>
    <t>допустимый диапазон пособия 0,10…0,15; пусто = не выбирать границу автоматически</t>
  </si>
  <si>
    <t>i</t>
  </si>
  <si>
    <t>m₀^(i-1), кг</t>
  </si>
  <si>
    <t>S^i, м²</t>
  </si>
  <si>
    <t>P₀^i, кгс</t>
  </si>
  <si>
    <t>P₀¹, кгс</t>
  </si>
  <si>
    <t>m̄_кр1</t>
  </si>
  <si>
    <t>m̄_кр2</t>
  </si>
  <si>
    <t>m̄_кр3</t>
  </si>
  <si>
    <t>m̄_T</t>
  </si>
  <si>
    <t>m₀^i, кг</t>
  </si>
  <si>
    <t>Коды состояния: 1 — сходимость достигнута; 2 — повторить расчёт с п. 4.3; 3 — требуется выбрать ε в диапазоне 0,10…0,15; 4 — достигнут предел числа итераций; 5 — недопустимое значение ε.</t>
  </si>
  <si>
    <t>Итог этапа 3 — абсолютные массы только из принятой сошедшейся итерации</t>
  </si>
  <si>
    <t>Относительная масса принятой итерации</t>
  </si>
  <si>
    <t>Номер принятой итерации i</t>
  </si>
  <si>
    <t>публикуется только при коде состояния 1</t>
  </si>
  <si>
    <t>Окончательная расчётная взлётная масса m₀</t>
  </si>
  <si>
    <t>(5.15)–(5.16)</t>
  </si>
  <si>
    <t>последняя принятая итерация</t>
  </si>
  <si>
    <t>Масса крыла m_кр</t>
  </si>
  <si>
    <t>разд. 5.1.1</t>
  </si>
  <si>
    <t>m=m₀·m̄; формула методики</t>
  </si>
  <si>
    <t>Масса фюзеляжа m_ф</t>
  </si>
  <si>
    <t>разд. 5.1.2</t>
  </si>
  <si>
    <t>Масса оперения m_оп</t>
  </si>
  <si>
    <t>разд. 5.1.3</t>
  </si>
  <si>
    <t>Масса шасси m_ш</t>
  </si>
  <si>
    <t>разд. 5.1.4</t>
  </si>
  <si>
    <t>Масса конструкции m_кон</t>
  </si>
  <si>
    <t>классификация масс / (5.1)</t>
  </si>
  <si>
    <t>сумма крыла, фюзеляжа, оперения и шасси</t>
  </si>
  <si>
    <t>Масса силовой установки m_с.у</t>
  </si>
  <si>
    <t>разд. 5.1.5</t>
  </si>
  <si>
    <t>Масса оборудования и управления m_об.упр</t>
  </si>
  <si>
    <t>разд. 5.1.6</t>
  </si>
  <si>
    <t>Масса пустого самолёта m_пуст</t>
  </si>
  <si>
    <t>Журавлев, классификация масс, рис. 1.2</t>
  </si>
  <si>
    <t>конструкция + СУ + оборудование; m_сл сюда не входит</t>
  </si>
  <si>
    <t>(1.4), 01_ТТТ!D6</t>
  </si>
  <si>
    <t>добавляется только к массе пустого снаряжённого</t>
  </si>
  <si>
    <t>Масса пустого снаряжённого самолёта m_пуст.снар</t>
  </si>
  <si>
    <t>(1.5)</t>
  </si>
  <si>
    <t>m_пуст.снар=m_пуст+m_сл</t>
  </si>
  <si>
    <t>Код состояния итогового весового баланса</t>
  </si>
  <si>
    <t>0 — не определено; 1 — рассчитано по сошедшейся итерации</t>
  </si>
  <si>
    <t>Источники и трактовка данных расчётной книги</t>
  </si>
  <si>
    <t>Источник</t>
  </si>
  <si>
    <t>Использование</t>
  </si>
  <si>
    <t>Приоритет</t>
  </si>
  <si>
    <t>Журавлёв, учебное пособие по проектированию самолётов, 2026</t>
  </si>
  <si>
    <t>формулы, коэффициенты и структура курсового проекта</t>
  </si>
  <si>
    <t>методика курса</t>
  </si>
  <si>
    <t>Журавлёв, приложение 8 к учебному пособию</t>
  </si>
  <si>
    <t>трактовка среднего километрового расхода и диаграмма «коммерческая нагрузка — дальность»</t>
  </si>
  <si>
    <t>Bombardier, руководство по аэропортовому планированию CRJ900</t>
  </si>
  <si>
    <t>CRJ900: массы, размеры, пассажировместимость, диаграмма «коммерческая нагрузка — дальность», опорная скорость захода, взлётная дистанция, шасси и конфигурация багажных отсеков</t>
  </si>
  <si>
    <t>первичный источник производителя</t>
  </si>
  <si>
    <t>Bombardier, техническое руководство CRJ700/900</t>
  </si>
  <si>
    <t>CRJ900: законцовки крыла, предкрылки, двухсекционные щелевые закрылки, интерцепторы, Т-образное оперение, связь шасси с крылом и уборка в центроплан</t>
  </si>
  <si>
    <t>первичный технический источник производителя</t>
  </si>
  <si>
    <t>FAA, отчёт по сертифицированному ресурсу CRJ900</t>
  </si>
  <si>
    <t>CRJ900 CL-600-2D24: сертифицированный ресурс: 80000 циклов полёта / 110000 ч лётного времени</t>
  </si>
  <si>
    <t>первичный нормативный источник</t>
  </si>
  <si>
    <t>GE, технические данные двигателя CF34-8C</t>
  </si>
  <si>
    <t>CF34-8C5: тяга, масса, степень двухконтурности, степень повышения давления и удельный расход топлива</t>
  </si>
  <si>
    <t>первичный источник производителя двигателя</t>
  </si>
  <si>
    <t>Fokker Services Group, информационная брошюра Fokker 70</t>
  </si>
  <si>
    <t>Fokker 70: размеры, пассажировместимость и диаграмма «коммерческая нагрузка — дальность»</t>
  </si>
  <si>
    <t>первичный источник Fokker Services Group</t>
  </si>
  <si>
    <t>EASA, сертификат типа Fokker F28</t>
  </si>
  <si>
    <t>Fokker 70 / F28 Mark 0070: массы, двигатели и сертификационные данные</t>
  </si>
  <si>
    <t>первичный нормативный источник EASA</t>
  </si>
  <si>
    <t>EASA, сертификат типа двигателя Rolls-Royce Tay</t>
  </si>
  <si>
    <t>Rolls-Royce Tay: сертификационные данные двигателя второго аналога</t>
  </si>
  <si>
    <t>Flugzeuginfo, справочная страница Fokker 70</t>
  </si>
  <si>
    <t>Fokker 70: вторичный источник для отсутствующих характеристик</t>
  </si>
  <si>
    <t>архивированный вторичный источник</t>
  </si>
  <si>
    <t>EASA CS-25, поправка 28</t>
  </si>
  <si>
    <t>CS 25.125(b)(2): связь стабилизированного захода с опорной скоростью</t>
  </si>
  <si>
    <t>УлГТУ, методика проектирования самолёта, 2016</t>
  </si>
  <si>
    <t>табл. 6: рабочая оценка коэффициента трения сухого бетонного покрытия</t>
  </si>
  <si>
    <t>независимый учебный источник</t>
  </si>
  <si>
    <t>Егер, «Проектирование самолётов», 1983</t>
  </si>
  <si>
    <t>полнотекстовая весовая методика и геометрические определения</t>
  </si>
  <si>
    <t>первичный методический источник</t>
  </si>
  <si>
    <t>Арепьев, метод концептуального проектирования, 1996</t>
  </si>
  <si>
    <t>альтернативный метод массы крыла 5.1.1.2 / оригинальные с. 56–57</t>
  </si>
  <si>
    <t>Ефимов, классификация пассажирских самолётов по дальности</t>
  </si>
  <si>
    <t>классификация БМС/СМС/ДМС по дальности с максимальной коммерческой нагрузкой</t>
  </si>
  <si>
    <t>дополнительный методический источник</t>
  </si>
  <si>
    <t>Мишин, методика дипломного проектирования, 1993</t>
  </si>
  <si>
    <t>независимая проверка табличных поправок k_к2/k_к3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</si>
</sst>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-0.0;&quot;не определено&quot;;@"/>
    <numFmt numFmtId="165" formatCode="0.0000"/>
    <numFmt numFmtId="166" formatCode="0.00000"/>
    <numFmt numFmtId="167" formatCode="0.0"/>
  </numFmts>
  <fonts count="3" x14ac:knownFonts="1">
    <font>
      <sz val="12"/>
      <color theme="1"/>
      <name val="Calibri"/>
      <family val="2"/>
      <scheme val="minor"/>
    </font>
    <font>
      <b/>
      <sz val="14"/>
      <color theme="1"/>
      <name val="Aptos"/>
    </font>
    <font>
      <b/>
      <sz val="12"/>
      <color theme="1"/>
      <name val="Aptos"/>
    </font>
  </fonts>
  <fills count="9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2E8F0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D3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>
      <alignment horizontal="center" wrapText="1" vertical="center"/>
    </xf>
    <xf numFmtId="0" fontId="1" fillId="2" borderId="0" xfId="0" applyFont="1" applyFill="1">
      <alignment horizontal="center" wrapText="1" vertical="center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>
      <alignment horizontal="center" wrapText="1" vertical="center"/>
    </xf>
    <xf numFmtId="0" fontId="2" fillId="3" borderId="1" xfId="0" applyFont="1" applyFill="1" applyBorder="1">
      <alignment horizontal="center" wrapText="1" vertical="center"/>
    </xf>
    <xf numFmtId="0" fontId="0" fillId="0" borderId="0" xfId="0">
      <alignment wrapText="1" vertical="top"/>
    </xf>
    <xf numFmtId="0" fontId="0" fillId="0" borderId="2" xfId="0" applyBorder="1">
      <alignment wrapText="1" vertical="top"/>
    </xf>
    <xf numFmtId="0" fontId="0" fillId="4" borderId="2" xfId="0" applyBorder="1" applyFill="1">
      <alignment wrapText="1" vertical="top"/>
    </xf>
    <xf numFmtId="0" fontId="0" fillId="5" borderId="2" xfId="0" applyBorder="1" applyFill="1">
      <alignment wrapText="1" vertical="top"/>
    </xf>
    <xf numFmtId="2" fontId="0" fillId="4" borderId="2" xfId="0" applyBorder="1" applyFill="1" applyNumberFormat="1">
      <alignment wrapText="1" vertical="top"/>
    </xf>
    <xf numFmtId="2" fontId="0" fillId="5" borderId="2" xfId="0" applyBorder="1" applyFill="1" applyNumberFormat="1">
      <alignment wrapText="1" vertical="top"/>
    </xf>
    <xf numFmtId="2" fontId="0" fillId="0" borderId="2" xfId="0" applyBorder="1" applyNumberFormat="1">
      <alignment wrapText="1" vertical="top"/>
    </xf>
    <xf numFmtId="0" fontId="0" fillId="6" borderId="2" xfId="0" applyBorder="1" applyFill="1">
      <alignment wrapText="1" vertical="top"/>
    </xf>
    <xf numFmtId="2" fontId="0" fillId="6" borderId="2" xfId="0" applyBorder="1" applyFill="1" applyNumberFormat="1">
      <alignment wrapText="1" vertical="top"/>
    </xf>
    <xf numFmtId="2" fontId="2" fillId="3" borderId="1" xfId="0" applyFont="1" applyFill="1" applyBorder="1" applyNumberFormat="1">
      <alignment horizontal="center" wrapText="1" vertical="center"/>
    </xf>
    <xf numFmtId="0" fontId="2" fillId="7" borderId="0" xfId="0" applyFont="1" applyFill="1"/>
    <xf numFmtId="0" fontId="2" fillId="7" borderId="0" xfId="0" applyFont="1" applyFill="1">
      <alignment wrapText="1" vertical="center"/>
    </xf>
    <xf numFmtId="164" fontId="0" fillId="0" borderId="0" xfId="0" applyNumberFormat="1"/>
    <xf numFmtId="0" fontId="2" fillId="7" borderId="0" xfId="0" applyFont="1" applyFill="1">
      <alignment wrapText="1" vertical="top"/>
    </xf>
    <xf numFmtId="164" fontId="0" fillId="0" borderId="0" xfId="0" applyNumberFormat="1">
      <alignment wrapText="1" vertical="top"/>
    </xf>
    <xf numFmtId="0" fontId="2" fillId="7" borderId="2" xfId="0" applyFont="1" applyFill="1" applyBorder="1">
      <alignment wrapText="1" vertical="top"/>
    </xf>
    <xf numFmtId="164" fontId="0" fillId="0" borderId="2" xfId="0" applyNumberFormat="1" applyBorder="1">
      <alignment wrapText="1" vertical="top"/>
    </xf>
    <xf numFmtId="0" fontId="2" fillId="4" borderId="2" xfId="0" applyFont="1" applyFill="1" applyBorder="1">
      <alignment wrapText="1" vertical="top"/>
    </xf>
    <xf numFmtId="0" fontId="2" fillId="5" borderId="2" xfId="0" applyFont="1" applyFill="1" applyBorder="1">
      <alignment wrapText="1" vertical="top"/>
    </xf>
    <xf numFmtId="164" fontId="0" fillId="5" borderId="2" xfId="0" applyNumberFormat="1" applyBorder="1" applyFill="1">
      <alignment wrapText="1" vertical="top"/>
    </xf>
    <xf numFmtId="10" fontId="0" fillId="5" borderId="2" xfId="0" applyBorder="1" applyFill="1" applyNumberFormat="1">
      <alignment wrapText="1" vertical="top"/>
    </xf>
    <xf numFmtId="10" fontId="0" fillId="6" borderId="2" xfId="0" applyBorder="1" applyFill="1" applyNumberFormat="1">
      <alignment wrapText="1" vertical="top"/>
    </xf>
    <xf numFmtId="165" fontId="0" fillId="4" borderId="2" xfId="0" applyBorder="1" applyFill="1" applyNumberFormat="1">
      <alignment wrapText="1" vertical="top"/>
    </xf>
    <xf numFmtId="165" fontId="0" fillId="6" borderId="2" xfId="0" applyBorder="1" applyFill="1" applyNumberFormat="1">
      <alignment wrapText="1" vertical="top"/>
    </xf>
    <xf numFmtId="165" fontId="0" fillId="5" borderId="2" xfId="0" applyBorder="1" applyFill="1" applyNumberFormat="1">
      <alignment wrapText="1" vertical="top"/>
    </xf>
    <xf numFmtId="165" fontId="2" fillId="3" borderId="1" xfId="0" applyFont="1" applyFill="1" applyBorder="1" applyNumberFormat="1">
      <alignment horizontal="center" wrapText="1" vertical="center"/>
    </xf>
    <xf numFmtId="166" fontId="0" fillId="5" borderId="2" xfId="0" applyBorder="1" applyFill="1" applyNumberFormat="1">
      <alignment wrapText="1" vertical="top"/>
    </xf>
    <xf numFmtId="166" fontId="0" fillId="6" borderId="2" xfId="0" applyBorder="1" applyFill="1" applyNumberFormat="1">
      <alignment wrapText="1" vertical="top"/>
    </xf>
    <xf numFmtId="166" fontId="0" fillId="4" borderId="2" xfId="0" applyBorder="1" applyFill="1" applyNumberFormat="1">
      <alignment wrapText="1" vertical="top"/>
    </xf>
    <xf numFmtId="166" fontId="2" fillId="3" borderId="1" xfId="0" applyFont="1" applyFill="1" applyBorder="1" applyNumberFormat="1">
      <alignment horizontal="center" wrapText="1" vertical="center"/>
    </xf>
    <xf numFmtId="0" fontId="0" fillId="8" borderId="2" xfId="0" applyBorder="1" applyFill="1">
      <alignment wrapText="1" vertical="top"/>
    </xf>
    <xf numFmtId="165" fontId="0" fillId="0" borderId="2" xfId="0" applyBorder="1" applyNumberFormat="1">
      <alignment wrapText="1" vertical="top"/>
    </xf>
    <xf numFmtId="166" fontId="0" fillId="0" borderId="2" xfId="0" applyBorder="1" applyNumberFormat="1">
      <alignment wrapText="1" vertical="top"/>
    </xf>
    <xf numFmtId="167" fontId="0" fillId="5" borderId="2" xfId="0" applyBorder="1" applyFill="1" applyNumberFormat="1">
      <alignment wrapText="1" vertical="top"/>
    </xf>
    <xf numFmtId="10" fontId="0" fillId="4" borderId="2" xfId="0" applyBorder="1" applyFill="1" applyNumberFormat="1">
      <alignment wrapText="1" vertical="top"/>
    </xf>
    <xf numFmtId="167" fontId="0" fillId="6" borderId="2" xfId="0" applyBorder="1" applyFill="1" applyNumberFormat="1">
      <alignment wrapText="1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  <Relationship Id="rId6" Type="http://schemas.openxmlformats.org/officeDocument/2006/relationships/worksheet" Target="worksheets/sheet3.xml"/>
  <Relationship Id="rId7" Type="http://schemas.openxmlformats.org/officeDocument/2006/relationships/worksheet" Target="worksheets/sheet4.xml"/>
  <Relationship Id="rId8" Type="http://schemas.openxmlformats.org/officeDocument/2006/relationships/worksheet" Target="worksheets/sheet5.xml"/>
  <Relationship Id="rId9" Type="http://schemas.openxmlformats.org/officeDocument/2006/relationships/worksheet" Target="worksheets/sheet6.xml"/>
  <Relationship Id="rId10" Type="http://schemas.openxmlformats.org/officeDocument/2006/relationships/worksheet" Target="worksheets/sheet7.xml"/>
  <Relationship Id="rId11" Type="http://schemas.openxmlformats.org/officeDocument/2006/relationships/worksheet" Target="worksheets/sheet8.xml"/>
  <Relationship Id="rId12" Type="http://schemas.openxmlformats.org/officeDocument/2006/relationships/worksheet" Target="worksheets/sheet9.xml"/>
  <Relationship Id="rId13" Type="http://schemas.openxmlformats.org/officeDocument/2006/relationships/worksheet" Target="worksheets/sheet10.xml"/>
  <Relationship Id="rId14" Type="http://schemas.openxmlformats.org/officeDocument/2006/relationships/worksheet" Target="worksheets/sheet11.xml"/>
</Relationships>
</file>

<file path=xl/drawings/_rels/drawing1.xml.rels><?xml version="1.0" encoding="UTF-8"?>
<Relationships xmlns="http://schemas.openxmlformats.org/package/2006/relationships">
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6</xdr:col>
      <xdr:colOff>0</xdr:colOff>
      <xdr:row>3</xdr:row>
      <xdr:rowOff>0</xdr:rowOff>
    </xdr:from>
    <xdr:to>
      <xdr:col>14</xdr:col>
      <xdr:colOff>0</xdr:colOff>
      <xdr:row>24</xdr:row>
      <xdr:rowOff>0</xdr:rowOff>
    </xdr:to>
    <xdr:pic>
      <xdr:nvPicPr>
        <xdr:cNvPr id="2" name="Imag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?>
<Relationships xmlns="http://schemas.openxmlformats.org/package/2006/relationships">
  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F10"/>
  <sheetViews>
    <sheetView tabSelected="1" workbookViewId="0"/>
  </sheetViews>
  <sheetFormatPr baseColWidth="10" defaultRowHeight="16" x14ac:dyDescent="0.2"/>
  <cols>
    <col max="4" min="4" width="24.7109375" customWidth="1"/>
    <col max="1" min="1" width="42.7109375" customWidth="1"/>
    <col max="5" min="5" width="20.7109375" customWidth="1"/>
    <col max="2" min="2" width="12.7109375" customWidth="1"/>
    <col max="6" min="6" width="42.7109375" customWidth="1"/>
    <col max="3" min="3" width="22.7109375" customWidth="1"/>
  </cols>
  <sheetData>
    <row r="1" spans="1:6" ht="28.2109375" customHeight="1">
      <c r="A1" t="s" s="3">
        <v>0</v>
      </c>
      <c r="B1"/>
      <c r="C1"/>
      <c r="D1"/>
      <c r="E1"/>
      <c r="F1"/>
    </row>
    <row r="3" spans="1:6">
      <c r="A3" t="s" s="7">
        <v>1</v>
      </c>
      <c r="B3" t="s" s="7">
        <v>2</v>
      </c>
      <c r="C3" t="s" s="7">
        <v>3</v>
      </c>
      <c r="D3" t="s" s="7">
        <v>4</v>
      </c>
      <c r="E3" t="s" s="7">
        <v>5</v>
      </c>
      <c r="F3" t="s" s="7">
        <v>6</v>
      </c>
    </row>
    <row r="4" spans="1:6">
      <c r="A4" t="s" s="9">
        <v>7</v>
      </c>
      <c r="B4" t="s" s="9">
        <v>8</v>
      </c>
      <c r="C4" t="n" s="12">
        <v>86</v>
      </c>
      <c r="D4" t="n" s="12">
        <v>80</v>
      </c>
      <c r="E4" s="13">
        <f>=(D4-C4)/C4*100</f>
      </c>
      <c r="F4" t="s" s="9">
        <v>9</v>
      </c>
    </row>
    <row r="5" spans="1:6">
      <c r="A5" t="s" s="9">
        <v>10</v>
      </c>
      <c r="B5" t="s" s="9">
        <v>11</v>
      </c>
      <c r="C5" t="n" s="12">
        <v>3678.072</v>
      </c>
      <c r="D5" t="n" s="12">
        <v>3333.6000000000004</v>
      </c>
      <c r="E5" s="13">
        <f>=(D5-C5)/C5*100</f>
      </c>
      <c r="F5" t="s" s="9">
        <v>12</v>
      </c>
    </row>
    <row r="6" spans="1:6">
      <c r="A6" t="s" s="9">
        <v>13</v>
      </c>
      <c r="B6" t="s" s="9">
        <v>14</v>
      </c>
      <c r="C6" t="n" s="12">
        <v>38329</v>
      </c>
      <c r="D6" t="n" s="12">
        <v>41730</v>
      </c>
      <c r="E6" s="13">
        <f>=(D6-C6)/C6*100</f>
      </c>
      <c r="F6" t="s" s="9">
        <v>15</v>
      </c>
    </row>
    <row r="7" spans="1:6">
      <c r="A7" t="s" s="9">
        <v>16</v>
      </c>
      <c r="B7" t="s" s="9">
        <v>17</v>
      </c>
      <c r="C7" t="n" s="12">
        <v>2001.0</v>
      </c>
      <c r="D7" t="n" s="12">
        <v>1993.0</v>
      </c>
      <c r="E7" t="n" s="14">
        <v>-8.0</v>
      </c>
      <c r="F7" t="s" s="9">
        <v>18</v>
      </c>
    </row>
    <row r="10" spans="1:6">
      <c r="A10" t="s" s="8">
        <v>19</v>
      </c>
      <c r="B10" t="s" s="8">
        <v>20</v>
      </c>
      <c r="C10" s="8"/>
      <c r="D10" s="8"/>
      <c r="E10" s="8"/>
      <c r="F10" s="8"/>
    </row>
  </sheetData>
  <mergeCells count="2">
    <mergeCell ref="A1:F1"/>
    <mergeCell ref="B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F40"/>
  <sheetViews>
    <sheetView tabSelected="0" workbookViewId="0"/>
  </sheetViews>
  <sheetFormatPr baseColWidth="10" defaultRowHeight="16" x14ac:dyDescent="0.2"/>
  <cols>
    <col max="4" min="4" width="24.7109375" customWidth="1"/>
    <col max="1" min="1" width="48.7109375" customWidth="1"/>
    <col max="5" min="5" width="0.7109375" customWidth="1"/>
    <col max="2" min="2" width="18.7109375" customWidth="1"/>
    <col max="6" min="6" width="52.7109375" customWidth="1"/>
    <col max="3" min="3" width="12.7109375" customWidth="1"/>
  </cols>
  <sheetData>
    <row r="1" spans="1:6" ht="28.2109375" customHeight="1">
      <c r="A1" t="s" s="3">
        <v>21</v>
      </c>
      <c r="B1"/>
      <c r="C1"/>
      <c r="D1"/>
      <c r="E1"/>
      <c r="F1"/>
    </row>
    <row r="3" spans="1:6">
      <c r="A3" t="s" s="7">
        <v>1</v>
      </c>
      <c r="B3" t="s" s="7">
        <v>22</v>
      </c>
      <c r="C3" t="s" s="7">
        <v>2</v>
      </c>
      <c r="D3" t="s" s="7">
        <v>23</v>
      </c>
      <c r="E3" s="7"/>
      <c r="F3" t="s" s="7">
        <v>25</v>
      </c>
    </row>
    <row r="4" spans="1:6">
      <c r="A4" t="s" s="9">
        <v>26</v>
      </c>
      <c r="B4" t="s" s="9">
        <v>27</v>
      </c>
      <c r="C4" t="s" s="9">
        <v>14</v>
      </c>
      <c r="D4" t="n" s="12">
        <v>9979.032140000001</v>
      </c>
      <c r="E4" s="16"/>
      <c r="F4" t="s" s="9">
        <v>28</v>
      </c>
    </row>
    <row r="5" spans="1:6">
      <c r="A5" t="s" s="9">
        <v>29</v>
      </c>
      <c r="B5" t="s" s="9">
        <v>30</v>
      </c>
      <c r="C5" t="s" s="9">
        <v>8</v>
      </c>
      <c r="D5" t="n" s="12">
        <v>86</v>
      </c>
      <c r="E5" s="16"/>
      <c r="F5" t="s" s="9">
        <v>28</v>
      </c>
    </row>
    <row r="6" spans="1:6">
      <c r="A6" t="s" s="9">
        <v>31</v>
      </c>
      <c r="B6" t="s" s="9">
        <v>32</v>
      </c>
      <c r="C6" t="s" s="9">
        <v>14</v>
      </c>
      <c r="D6" s="13">
        <f>=D18</f>
      </c>
      <c r="E6" s="16"/>
      <c r="F6" t="s" s="9">
        <v>33</v>
      </c>
    </row>
    <row r="7" spans="1:6">
      <c r="A7" t="s" s="9">
        <v>34</v>
      </c>
      <c r="B7" t="s" s="9">
        <v>35</v>
      </c>
      <c r="C7" t="s" s="9">
        <v>8</v>
      </c>
      <c r="D7" t="n" s="12">
        <v>2.0</v>
      </c>
      <c r="E7" s="16"/>
      <c r="F7" t="s" s="9">
        <v>28</v>
      </c>
    </row>
    <row r="8" spans="1:6">
      <c r="A8" t="s" s="9">
        <v>36</v>
      </c>
      <c r="B8" t="s" s="9">
        <v>37</v>
      </c>
      <c r="C8" t="s" s="9">
        <v>11</v>
      </c>
      <c r="D8" t="n" s="12">
        <v>2407.6</v>
      </c>
      <c r="E8" s="16"/>
      <c r="F8" t="s" s="9">
        <v>38</v>
      </c>
    </row>
    <row r="9" spans="1:6">
      <c r="A9" t="s" s="9">
        <v>39</v>
      </c>
      <c r="B9" t="s" s="9">
        <v>40</v>
      </c>
      <c r="C9" t="s" s="9">
        <v>41</v>
      </c>
      <c r="D9" t="n" s="12">
        <v>9833.0</v>
      </c>
      <c r="E9" s="16"/>
      <c r="F9" t="s" s="9">
        <v>42</v>
      </c>
    </row>
    <row r="10" spans="1:6">
      <c r="A10" t="s" s="9">
        <v>43</v>
      </c>
      <c r="B10" t="s" s="9">
        <v>44</v>
      </c>
      <c r="C10" t="s" s="9">
        <v>45</v>
      </c>
      <c r="D10" s="13">
        <f>='03_Дальность'!C34</f>
      </c>
      <c r="E10" s="16"/>
      <c r="F10" t="s" s="9">
        <v>46</v>
      </c>
    </row>
    <row r="11" spans="1:6">
      <c r="A11" t="s" s="9">
        <v>47</v>
      </c>
      <c r="B11" t="s" s="9">
        <v>48</v>
      </c>
      <c r="C11" t="s" s="9">
        <v>41</v>
      </c>
      <c r="E11"/>
      <c r="F11" t="s" s="9">
        <v>49</v>
      </c>
    </row>
    <row r="12" spans="1:6">
      <c r="A12" t="s" s="9">
        <v>50</v>
      </c>
      <c r="B12" t="s" s="9">
        <v>51</v>
      </c>
      <c r="C12" t="s" s="9">
        <v>45</v>
      </c>
      <c r="D12" t="n" s="14">
        <v>259.28000000000003</v>
      </c>
      <c r="E12" s="14"/>
      <c r="F12" t="s" s="9">
        <v>52</v>
      </c>
    </row>
    <row r="13" spans="1:6">
      <c r="E13"/>
    </row>
    <row r="14" spans="1:6">
      <c r="E14"/>
    </row>
    <row r="15" spans="1:6">
      <c r="A15" t="s" s="7">
        <v>53</v>
      </c>
      <c r="B15" t="s" s="7">
        <v>22</v>
      </c>
      <c r="C15" t="s" s="7">
        <v>2</v>
      </c>
      <c r="D15" t="s" s="17">
        <v>54</v>
      </c>
      <c r="E15" s="17"/>
      <c r="F15" t="s" s="7">
        <v>55</v>
      </c>
    </row>
    <row r="16" spans="1:6">
      <c r="A16" t="s" s="9">
        <v>56</v>
      </c>
      <c r="B16" t="s" s="9">
        <v>57</v>
      </c>
      <c r="C16" t="s" s="9">
        <v>14</v>
      </c>
      <c r="D16" s="13">
        <f>=93*D7+63*D5/30</f>
      </c>
      <c r="E16" s="16"/>
      <c r="F16" t="s" s="9">
        <v>58</v>
      </c>
    </row>
    <row r="17" spans="1:6">
      <c r="A17" t="s" s="9">
        <v>59</v>
      </c>
      <c r="B17" t="s" s="9">
        <v>60</v>
      </c>
      <c r="C17" t="s" s="9">
        <v>14</v>
      </c>
      <c r="D17" s="13">
        <f>=10+14.97*D5</f>
      </c>
      <c r="E17" s="16"/>
      <c r="F17" t="s" s="9">
        <v>61</v>
      </c>
    </row>
    <row r="18" spans="1:6">
      <c r="A18" t="s" s="9">
        <v>31</v>
      </c>
      <c r="B18" t="s" s="9">
        <v>32</v>
      </c>
      <c r="C18" t="s" s="9">
        <v>14</v>
      </c>
      <c r="D18" s="13">
        <f>=D16+D17</f>
      </c>
      <c r="E18" s="16"/>
      <c r="F18" t="s" s="9">
        <v>62</v>
      </c>
    </row>
    <row r="19" spans="1:6">
      <c r="E19"/>
    </row>
    <row r="20" spans="1:6">
      <c r="E20"/>
    </row>
    <row r="21" spans="1:6">
      <c r="E21"/>
    </row>
    <row r="22" spans="1:6">
      <c r="E22"/>
    </row>
    <row r="23" spans="1:6">
      <c r="E23"/>
    </row>
    <row r="24" spans="1:6">
      <c r="E24"/>
    </row>
    <row r="25" spans="1:6">
      <c r="E25"/>
    </row>
    <row r="26" spans="1:6">
      <c r="E26"/>
    </row>
    <row r="27" spans="1:6">
      <c r="E27"/>
    </row>
    <row r="28" spans="1:6">
      <c r="E28"/>
    </row>
    <row r="29" spans="1:6">
      <c r="E29"/>
    </row>
    <row r="30" spans="1:6">
      <c r="E30"/>
    </row>
    <row r="31" spans="1:6">
      <c r="E31"/>
    </row>
    <row r="32" spans="1:6">
      <c r="E32"/>
    </row>
    <row r="33" spans="1:6">
      <c r="E33"/>
    </row>
    <row r="34" spans="1:6">
      <c r="E34"/>
    </row>
    <row r="35" spans="1:6">
      <c r="E35"/>
    </row>
    <row r="36" spans="1:6">
      <c r="E36"/>
    </row>
    <row r="37" spans="1:6">
      <c r="E37"/>
    </row>
    <row r="38" spans="1:6">
      <c r="E38"/>
    </row>
    <row r="39" spans="1:6">
      <c r="E39"/>
    </row>
    <row r="40" spans="1:6">
      <c r="E40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3B40-677E-409B-9433-118218E4161E}">
  <dimension ref="A1:G110"/>
  <sheetViews>
    <sheetView tabSelected="0" workbookViewId="0"/>
  </sheetViews>
  <sheetFormatPr baseColWidth="10" defaultRowHeight="16" x14ac:dyDescent="0.2"/>
  <cols>
    <col max="4" min="4" width="29.7109375" customWidth="1"/>
    <col max="1" min="1" width="48.7109375" customWidth="1"/>
    <col max="5" min="5" width="36.7109375" customWidth="1"/>
    <col max="2" min="2" width="19.7109375" customWidth="1"/>
    <col max="6" min="6" width="20.7109375" customWidth="1"/>
    <col max="7" min="7" width="0.7109375" customWidth="1"/>
    <col max="3" min="3" width="29.7109375" customWidth="1"/>
  </cols>
  <sheetData>
    <row r="1" spans="1:7" ht="28.2109375" customHeight="1">
      <c r="A1" t="s" s="3">
        <v>63</v>
      </c>
      <c r="B1"/>
      <c r="C1"/>
      <c r="D1"/>
      <c r="E1"/>
      <c r="F1"/>
      <c r="G1"/>
    </row>
    <row r="2" spans="1:7" ht="52.2109375" customHeight="1">
      <c r="A2" t="s" s="8">
        <v>64</v>
      </c>
      <c r="B2" s="8"/>
      <c r="C2" s="8"/>
      <c r="D2" s="8"/>
      <c r="E2" s="8"/>
      <c r="F2" s="8"/>
      <c r="G2" s="8"/>
    </row>
    <row r="4" spans="1:7">
      <c r="A4" t="s" s="7">
        <v>65</v>
      </c>
      <c r="B4" t="s" s="7">
        <v>66</v>
      </c>
      <c r="C4" t="s" s="7">
        <v>67</v>
      </c>
      <c r="D4" t="s" s="7">
        <v>68</v>
      </c>
      <c r="E4" t="s" s="7">
        <v>69</v>
      </c>
      <c r="F4" t="s" s="7">
        <v>70</v>
      </c>
      <c r="G4" s="7"/>
    </row>
    <row r="5" spans="1:7">
      <c r="A5" t="s" s="23">
        <v>72</v>
      </c>
      <c r="B5" s="23"/>
      <c r="C5" s="23"/>
      <c r="D5" s="23"/>
      <c r="E5" s="23"/>
      <c r="F5" s="23"/>
      <c r="G5" s="23"/>
    </row>
    <row r="6" spans="1:7">
      <c r="A6" t="s" s="9">
        <v>73</v>
      </c>
      <c r="B6" t="s" s="9">
        <v>74</v>
      </c>
      <c r="C6" s="10">
        <f>='02_Параметры'!C9</f>
      </c>
      <c r="D6" s="10">
        <f>='02_Параметры'!D9</f>
      </c>
      <c r="E6" t="s" s="9">
        <v>75</v>
      </c>
      <c r="F6" s="11">
        <f>='07_p0_P0'!C62</f>
      </c>
      <c r="G6" s="9"/>
    </row>
    <row r="7" spans="1:7">
      <c r="A7" t="s" s="9">
        <v>77</v>
      </c>
      <c r="B7" t="s" s="9">
        <v>78</v>
      </c>
      <c r="C7" t="s" s="10">
        <v>79</v>
      </c>
      <c r="D7" t="s" s="10">
        <v>79</v>
      </c>
      <c r="E7" t="s" s="9">
        <v>80</v>
      </c>
      <c r="F7" s="11">
        <f>='07_p0_P0'!C59</f>
      </c>
      <c r="G7" s="9"/>
    </row>
    <row r="8" spans="1:7">
      <c r="A8" t="s" s="9">
        <v>82</v>
      </c>
      <c r="B8" t="s" s="9">
        <v>83</v>
      </c>
      <c r="C8" t="s" s="10">
        <v>79</v>
      </c>
      <c r="D8" t="s" s="10">
        <v>79</v>
      </c>
      <c r="E8" t="s" s="9">
        <v>84</v>
      </c>
      <c r="F8" s="11">
        <f>='07_p0_P0'!C21</f>
      </c>
      <c r="G8" s="9"/>
    </row>
    <row r="9" spans="1:7">
      <c r="A9" t="s" s="9">
        <v>86</v>
      </c>
      <c r="B9" t="s" s="9">
        <v>87</v>
      </c>
      <c r="C9" s="10">
        <f>='02_Параметры'!C10</f>
      </c>
      <c r="D9" s="10">
        <f>='02_Параметры'!D10</f>
      </c>
      <c r="E9" t="s" s="9">
        <v>88</v>
      </c>
      <c r="F9" s="11">
        <f>='07_p0_P0'!C100</f>
      </c>
      <c r="G9" s="9"/>
    </row>
    <row r="10" spans="1:7">
      <c r="A10" t="s" s="9">
        <v>90</v>
      </c>
      <c r="B10" t="s" s="9">
        <v>91</v>
      </c>
      <c r="C10" t="s" s="10">
        <v>79</v>
      </c>
      <c r="D10" t="s" s="10">
        <v>79</v>
      </c>
      <c r="E10" t="s" s="9">
        <v>92</v>
      </c>
      <c r="F10" s="11">
        <f>='07_p0_P0'!C40</f>
      </c>
      <c r="G10" s="9"/>
    </row>
    <row r="11" spans="1:7">
      <c r="A11" t="s" s="9">
        <v>94</v>
      </c>
      <c r="B11" t="s" s="9">
        <v>95</v>
      </c>
      <c r="C11" t="s" s="10">
        <v>79</v>
      </c>
      <c r="D11" t="s" s="10">
        <v>79</v>
      </c>
      <c r="E11" t="s" s="9">
        <v>96</v>
      </c>
      <c r="F11" s="11">
        <f>='07_p0_P0'!C90</f>
      </c>
      <c r="G11" s="9"/>
    </row>
    <row r="12" spans="1:7">
      <c r="A12" t="s" s="9">
        <v>98</v>
      </c>
      <c r="B12" t="s" s="9">
        <v>99</v>
      </c>
      <c r="C12" t="s" s="10">
        <v>79</v>
      </c>
      <c r="D12" t="s" s="10">
        <v>79</v>
      </c>
      <c r="E12" t="s" s="9">
        <v>100</v>
      </c>
      <c r="F12" t="s" s="11">
        <v>101</v>
      </c>
      <c r="G12" s="9"/>
    </row>
    <row r="13" spans="1:7">
      <c r="A13" t="s" s="23">
        <v>102</v>
      </c>
      <c r="B13" s="23"/>
      <c r="C13" s="23"/>
      <c r="D13" s="23"/>
      <c r="E13" s="23"/>
      <c r="F13" s="23"/>
      <c r="G13" s="23"/>
    </row>
    <row r="14" spans="1:7">
      <c r="A14" t="s" s="9">
        <v>103</v>
      </c>
      <c r="B14" t="s" s="9">
        <v>104</v>
      </c>
      <c r="C14" t="s" s="10">
        <v>105</v>
      </c>
      <c r="D14" t="s" s="10">
        <v>106</v>
      </c>
      <c r="E14" t="s" s="9">
        <v>107</v>
      </c>
      <c r="F14" s="11">
        <f>='07_p0_P0'!C88</f>
      </c>
      <c r="G14" s="9"/>
    </row>
    <row r="15" spans="1:7">
      <c r="A15" t="s" s="9">
        <v>109</v>
      </c>
      <c r="B15" t="s" s="9">
        <v>110</v>
      </c>
      <c r="C15" t="s" s="10">
        <v>111</v>
      </c>
      <c r="D15" t="s" s="10">
        <v>112</v>
      </c>
      <c r="E15" t="s" s="9">
        <v>113</v>
      </c>
      <c r="F15" t="s" s="11">
        <v>114</v>
      </c>
      <c r="G15" s="9"/>
    </row>
    <row r="16" spans="1:7">
      <c r="A16" t="s" s="9">
        <v>115</v>
      </c>
      <c r="B16" t="s" s="9">
        <v>116</v>
      </c>
      <c r="C16" t="s" s="10">
        <v>117</v>
      </c>
      <c r="D16" t="s" s="10">
        <v>118</v>
      </c>
      <c r="E16" t="s" s="9">
        <v>113</v>
      </c>
      <c r="F16" t="s" s="11">
        <v>79</v>
      </c>
      <c r="G16" s="9"/>
    </row>
    <row r="17" spans="1:7">
      <c r="A17" t="s" s="9">
        <v>119</v>
      </c>
      <c r="B17" t="s" s="9">
        <v>120</v>
      </c>
      <c r="C17" t="s" s="10">
        <v>79</v>
      </c>
      <c r="D17" t="s" s="10">
        <v>79</v>
      </c>
      <c r="E17" t="s" s="9">
        <v>79</v>
      </c>
      <c r="F17" t="s" s="11">
        <v>114</v>
      </c>
      <c r="G17" s="9"/>
    </row>
    <row r="18" spans="1:7">
      <c r="A18" t="s" s="9">
        <v>121</v>
      </c>
      <c r="B18" t="s" s="9">
        <v>122</v>
      </c>
      <c r="C18" t="s" s="10">
        <v>123</v>
      </c>
      <c r="D18" t="s" s="10">
        <v>124</v>
      </c>
      <c r="E18" t="s" s="9">
        <v>125</v>
      </c>
      <c r="F18" s="11">
        <f>='08_Масса_II'!C51</f>
      </c>
      <c r="G18" s="9"/>
    </row>
    <row r="19" spans="1:7">
      <c r="A19" t="s" s="9">
        <v>127</v>
      </c>
      <c r="B19" t="s" s="9">
        <v>128</v>
      </c>
      <c r="C19" t="s" s="10">
        <v>129</v>
      </c>
      <c r="D19" t="s" s="10">
        <v>124</v>
      </c>
      <c r="E19" t="s" s="9">
        <v>130</v>
      </c>
      <c r="F19" t="s" s="11">
        <v>131</v>
      </c>
      <c r="G19" s="9"/>
    </row>
    <row r="20" spans="1:7">
      <c r="A20" t="s" s="9">
        <v>132</v>
      </c>
      <c r="B20" t="s" s="9">
        <v>133</v>
      </c>
      <c r="C20" t="s" s="10">
        <v>124</v>
      </c>
      <c r="D20" t="s" s="10">
        <v>124</v>
      </c>
      <c r="E20" t="s" s="9">
        <v>113</v>
      </c>
      <c r="F20" t="s" s="11">
        <v>79</v>
      </c>
      <c r="G20" s="9"/>
    </row>
    <row r="21" spans="1:7">
      <c r="A21" t="s" s="9">
        <v>134</v>
      </c>
      <c r="B21" t="s" s="9">
        <v>135</v>
      </c>
      <c r="C21" t="s" s="10">
        <v>124</v>
      </c>
      <c r="D21" t="s" s="10">
        <v>124</v>
      </c>
      <c r="E21" t="s" s="9">
        <v>113</v>
      </c>
      <c r="F21" t="s" s="11">
        <v>101</v>
      </c>
      <c r="G21" s="9"/>
    </row>
    <row r="22" spans="1:7">
      <c r="A22" t="s" s="9">
        <v>136</v>
      </c>
      <c r="B22" t="s" s="9">
        <v>137</v>
      </c>
      <c r="C22" t="s" s="10">
        <v>124</v>
      </c>
      <c r="D22" t="s" s="10">
        <v>124</v>
      </c>
      <c r="E22" t="s" s="9">
        <v>113</v>
      </c>
      <c r="F22" t="s" s="11">
        <v>79</v>
      </c>
      <c r="G22" s="9"/>
    </row>
    <row r="23" spans="1:7">
      <c r="A23" t="s" s="9">
        <v>138</v>
      </c>
      <c r="B23" t="s" s="9">
        <v>139</v>
      </c>
      <c r="C23" t="s" s="10">
        <v>124</v>
      </c>
      <c r="D23" t="s" s="10">
        <v>124</v>
      </c>
      <c r="E23" t="s" s="9">
        <v>113</v>
      </c>
      <c r="F23" t="s" s="11">
        <v>101</v>
      </c>
      <c r="G23" s="9"/>
    </row>
    <row r="24" spans="1:7">
      <c r="A24" t="s" s="9">
        <v>140</v>
      </c>
      <c r="B24" t="s" s="9">
        <v>141</v>
      </c>
      <c r="C24" t="s" s="10">
        <v>142</v>
      </c>
      <c r="D24" t="s" s="10">
        <v>143</v>
      </c>
      <c r="E24" t="s" s="9">
        <v>144</v>
      </c>
      <c r="F24" t="s" s="11">
        <v>79</v>
      </c>
      <c r="G24" s="9"/>
    </row>
    <row r="25" spans="1:7">
      <c r="A25" t="s" s="9">
        <v>145</v>
      </c>
      <c r="B25" t="s" s="9">
        <v>146</v>
      </c>
      <c r="C25" t="s" s="10">
        <v>147</v>
      </c>
      <c r="D25" t="s" s="10">
        <v>147</v>
      </c>
      <c r="E25" t="s" s="9">
        <v>113</v>
      </c>
      <c r="F25" t="s" s="11">
        <v>79</v>
      </c>
      <c r="G25" s="9"/>
    </row>
    <row r="26" spans="1:7">
      <c r="A26" t="s" s="9">
        <v>148</v>
      </c>
      <c r="B26" t="s" s="9">
        <v>149</v>
      </c>
      <c r="C26" t="s" s="10">
        <v>147</v>
      </c>
      <c r="D26" t="s" s="10">
        <v>124</v>
      </c>
      <c r="E26" t="s" s="9">
        <v>79</v>
      </c>
      <c r="F26" t="s" s="11">
        <v>79</v>
      </c>
      <c r="G26" s="9"/>
    </row>
    <row r="27" spans="1:7">
      <c r="A27" t="s" s="9">
        <v>150</v>
      </c>
      <c r="B27" t="s" s="9">
        <v>151</v>
      </c>
      <c r="C27" t="s" s="10">
        <v>152</v>
      </c>
      <c r="D27" t="s" s="10">
        <v>118</v>
      </c>
      <c r="E27" t="s" s="9">
        <v>79</v>
      </c>
      <c r="F27" t="s" s="11">
        <v>79</v>
      </c>
      <c r="G27" s="9"/>
    </row>
    <row r="28" spans="1:7">
      <c r="A28" t="s" s="9">
        <v>153</v>
      </c>
      <c r="B28" t="s" s="9">
        <v>154</v>
      </c>
      <c r="C28" t="s" s="10">
        <v>147</v>
      </c>
      <c r="D28" t="s" s="10">
        <v>124</v>
      </c>
      <c r="E28" t="s" s="9">
        <v>155</v>
      </c>
      <c r="F28" t="s" s="11">
        <v>156</v>
      </c>
      <c r="G28" s="9"/>
    </row>
    <row r="29" spans="1:7">
      <c r="A29" t="s" s="23">
        <v>157</v>
      </c>
      <c r="B29" s="23"/>
      <c r="C29" s="23"/>
      <c r="D29" s="23"/>
      <c r="E29" s="23"/>
      <c r="F29" s="23"/>
      <c r="G29" s="23"/>
    </row>
    <row r="30" spans="1:7">
      <c r="A30" t="s" s="9">
        <v>158</v>
      </c>
      <c r="B30" t="s" s="9">
        <v>159</v>
      </c>
      <c r="C30" t="s" s="10">
        <v>160</v>
      </c>
      <c r="D30" t="s" s="10">
        <v>161</v>
      </c>
      <c r="E30" t="s" s="9">
        <v>79</v>
      </c>
      <c r="F30" t="s" s="11">
        <v>79</v>
      </c>
      <c r="G30" s="9"/>
    </row>
    <row r="31" spans="1:7">
      <c r="A31" t="s" s="9">
        <v>162</v>
      </c>
      <c r="B31" t="s" s="9">
        <v>163</v>
      </c>
      <c r="C31" t="s" s="10">
        <v>79</v>
      </c>
      <c r="D31" t="s" s="10">
        <v>79</v>
      </c>
      <c r="E31" t="s" s="9">
        <v>79</v>
      </c>
      <c r="F31" s="11">
        <f>='06_Масса_I'!C47</f>
      </c>
      <c r="G31" s="9"/>
    </row>
    <row r="32" spans="1:7">
      <c r="A32" t="s" s="9">
        <v>165</v>
      </c>
      <c r="B32" t="s" s="9">
        <v>166</v>
      </c>
      <c r="C32" t="s" s="10">
        <v>79</v>
      </c>
      <c r="D32" t="s" s="10">
        <v>79</v>
      </c>
      <c r="E32" t="s" s="9">
        <v>79</v>
      </c>
      <c r="F32" s="27">
        <f>='08_Масса_II'!C173</f>
      </c>
      <c r="G32" s="9"/>
    </row>
    <row r="33" spans="1:7">
      <c r="A33" t="s" s="9">
        <v>168</v>
      </c>
      <c r="B33" t="s" s="9">
        <v>169</v>
      </c>
      <c r="C33" t="s" s="10">
        <v>79</v>
      </c>
      <c r="D33" t="s" s="10">
        <v>79</v>
      </c>
      <c r="E33" t="s" s="9">
        <v>79</v>
      </c>
      <c r="F33" s="27">
        <f>='08_Масса_II'!C195</f>
      </c>
      <c r="G33" s="9"/>
    </row>
    <row r="34" spans="1:7">
      <c r="A34" t="s" s="9">
        <v>171</v>
      </c>
      <c r="B34" t="s" s="9">
        <v>172</v>
      </c>
      <c r="C34" t="s" s="10">
        <v>173</v>
      </c>
      <c r="D34" t="s" s="10">
        <v>174</v>
      </c>
      <c r="E34" t="s" s="9">
        <v>79</v>
      </c>
      <c r="F34" t="s" s="11">
        <v>175</v>
      </c>
      <c r="G34" s="9"/>
    </row>
    <row r="35" spans="1:7">
      <c r="A35" t="s" s="9">
        <v>176</v>
      </c>
      <c r="B35" t="s" s="9">
        <v>177</v>
      </c>
      <c r="C35" t="s" s="10">
        <v>178</v>
      </c>
      <c r="D35" t="s" s="10">
        <v>179</v>
      </c>
      <c r="E35" t="s" s="9">
        <v>79</v>
      </c>
      <c r="F35" t="s" s="11">
        <v>175</v>
      </c>
      <c r="G35" s="9"/>
    </row>
    <row r="36" spans="1:7">
      <c r="A36" t="s" s="9">
        <v>180</v>
      </c>
      <c r="B36" t="s" s="9">
        <v>181</v>
      </c>
      <c r="C36" t="s" s="10">
        <v>182</v>
      </c>
      <c r="D36" t="s" s="10">
        <v>183</v>
      </c>
      <c r="E36" t="s" s="9">
        <v>79</v>
      </c>
      <c r="F36" s="27">
        <f>='08_Масса_II'!C205</f>
      </c>
      <c r="G36" s="9"/>
    </row>
    <row r="37" spans="1:7">
      <c r="A37" t="s" s="9">
        <v>185</v>
      </c>
      <c r="B37" t="s" s="9">
        <v>27</v>
      </c>
      <c r="C37" t="s" s="10">
        <v>186</v>
      </c>
      <c r="D37" t="s" s="10">
        <v>187</v>
      </c>
      <c r="E37" t="s" s="9">
        <v>79</v>
      </c>
      <c r="F37" t="s" s="11">
        <v>79</v>
      </c>
      <c r="G37" s="9"/>
    </row>
    <row r="38" spans="1:7">
      <c r="A38" t="s" s="9">
        <v>188</v>
      </c>
      <c r="B38" t="s" s="9">
        <v>189</v>
      </c>
      <c r="C38" t="s" s="10">
        <v>190</v>
      </c>
      <c r="D38" t="s" s="10">
        <v>191</v>
      </c>
      <c r="E38" t="s" s="9">
        <v>79</v>
      </c>
      <c r="F38" t="s" s="11">
        <v>192</v>
      </c>
      <c r="G38" s="9"/>
    </row>
    <row r="39" spans="1:7">
      <c r="A39" t="s" s="23">
        <v>193</v>
      </c>
      <c r="B39" s="23"/>
      <c r="C39" s="23"/>
      <c r="D39" s="23"/>
      <c r="E39" s="23"/>
      <c r="F39" s="23"/>
      <c r="G39" s="23"/>
    </row>
    <row r="40" spans="1:7">
      <c r="A40" t="s" s="9">
        <v>194</v>
      </c>
      <c r="B40" t="s" s="9">
        <v>195</v>
      </c>
      <c r="C40" t="s" s="10">
        <v>79</v>
      </c>
      <c r="D40" t="s" s="10">
        <v>79</v>
      </c>
      <c r="E40" t="s" s="9">
        <v>79</v>
      </c>
      <c r="F40" t="s" s="11">
        <v>101</v>
      </c>
      <c r="G40" s="9"/>
    </row>
    <row r="41" spans="1:7">
      <c r="A41" t="s" s="9">
        <v>196</v>
      </c>
      <c r="B41" t="s" s="9">
        <v>197</v>
      </c>
      <c r="C41" t="s" s="10">
        <v>79</v>
      </c>
      <c r="D41" t="s" s="10">
        <v>79</v>
      </c>
      <c r="E41" t="s" s="9">
        <v>79</v>
      </c>
      <c r="F41" t="s" s="11">
        <v>101</v>
      </c>
      <c r="G41" s="9"/>
    </row>
    <row r="42" spans="1:7">
      <c r="A42" t="s" s="9">
        <v>198</v>
      </c>
      <c r="B42" t="s" s="9">
        <v>199</v>
      </c>
      <c r="C42" t="s" s="10">
        <v>79</v>
      </c>
      <c r="D42" t="s" s="10">
        <v>79</v>
      </c>
      <c r="E42" t="s" s="9">
        <v>79</v>
      </c>
      <c r="F42" s="11">
        <f>='08_Масса_II'!C35</f>
      </c>
      <c r="G42" s="9"/>
    </row>
    <row r="43" spans="1:7">
      <c r="A43" t="s" s="9">
        <v>201</v>
      </c>
      <c r="B43" t="s" s="9">
        <v>202</v>
      </c>
      <c r="C43" t="s" s="10">
        <v>79</v>
      </c>
      <c r="D43" t="s" s="10">
        <v>79</v>
      </c>
      <c r="E43" t="s" s="9">
        <v>79</v>
      </c>
      <c r="F43" s="11">
        <f>='08_Масса_II'!C9</f>
      </c>
      <c r="G43" s="9"/>
    </row>
    <row r="44" spans="1:7">
      <c r="A44" t="s" s="9">
        <v>204</v>
      </c>
      <c r="B44" t="s" s="9">
        <v>205</v>
      </c>
      <c r="C44" t="s" s="10">
        <v>79</v>
      </c>
      <c r="D44" t="s" s="10">
        <v>79</v>
      </c>
      <c r="E44" t="s" s="9">
        <v>79</v>
      </c>
      <c r="F44" s="11">
        <f>='08_Масса_II'!C14</f>
      </c>
      <c r="G44" s="9"/>
    </row>
    <row r="45" spans="1:7">
      <c r="A45" t="s" s="9">
        <v>207</v>
      </c>
      <c r="B45" t="s" s="9">
        <v>208</v>
      </c>
      <c r="C45" t="s" s="10">
        <v>79</v>
      </c>
      <c r="D45" t="s" s="10">
        <v>79</v>
      </c>
      <c r="E45" t="s" s="9">
        <v>79</v>
      </c>
      <c r="F45" s="11">
        <f>='08_Масса_II'!C165</f>
      </c>
      <c r="G45" s="9"/>
    </row>
    <row r="46" spans="1:7">
      <c r="A46" t="s" s="9">
        <v>210</v>
      </c>
      <c r="B46" t="s" s="9">
        <v>211</v>
      </c>
      <c r="C46" t="s" s="10">
        <v>79</v>
      </c>
      <c r="D46" t="s" s="10">
        <v>79</v>
      </c>
      <c r="E46" t="s" s="9">
        <v>79</v>
      </c>
      <c r="F46" s="11">
        <f>='08_Масса_II'!C18</f>
      </c>
      <c r="G46" s="9"/>
    </row>
    <row r="47" spans="1:7">
      <c r="A47" t="s" s="9">
        <v>213</v>
      </c>
      <c r="B47" t="s" s="9">
        <v>214</v>
      </c>
      <c r="C47" t="s" s="10">
        <v>79</v>
      </c>
      <c r="D47" t="s" s="10">
        <v>79</v>
      </c>
      <c r="E47" t="s" s="9">
        <v>79</v>
      </c>
      <c r="F47" s="11">
        <f>='06_Масса_I'!C46</f>
      </c>
      <c r="G47" s="9"/>
    </row>
    <row r="48" spans="1:7">
      <c r="A48" t="s" s="9">
        <v>216</v>
      </c>
      <c r="B48" t="s" s="9">
        <v>217</v>
      </c>
      <c r="C48" t="s" s="10">
        <v>218</v>
      </c>
      <c r="D48" t="s" s="10">
        <v>79</v>
      </c>
      <c r="E48" t="s" s="9">
        <v>79</v>
      </c>
      <c r="F48" s="11">
        <f>='03_Дальность'!C19</f>
      </c>
      <c r="G48" s="9"/>
    </row>
    <row r="49" spans="1:7">
      <c r="A49" t="s" s="9">
        <v>220</v>
      </c>
      <c r="B49" t="s" s="9">
        <v>221</v>
      </c>
      <c r="C49" t="s" s="10">
        <v>79</v>
      </c>
      <c r="D49" t="s" s="10">
        <v>79</v>
      </c>
      <c r="E49" t="s" s="9">
        <v>79</v>
      </c>
      <c r="F49" s="11">
        <f>='03_Дальность'!C61</f>
      </c>
      <c r="G49" s="9"/>
    </row>
    <row r="50" spans="1:7">
      <c r="A50" t="s" s="9">
        <v>223</v>
      </c>
      <c r="B50" t="s" s="9">
        <v>224</v>
      </c>
      <c r="C50" t="s" s="10">
        <v>79</v>
      </c>
      <c r="D50" t="s" s="10">
        <v>79</v>
      </c>
      <c r="E50" t="s" s="9">
        <v>79</v>
      </c>
      <c r="F50" s="11">
        <f>='03_Дальность'!C62</f>
      </c>
      <c r="G50" s="9"/>
    </row>
    <row r="51" spans="1:7">
      <c r="A51" t="s" s="9">
        <v>226</v>
      </c>
      <c r="B51" t="s" s="9">
        <v>227</v>
      </c>
      <c r="C51" t="s" s="10">
        <v>79</v>
      </c>
      <c r="D51" t="s" s="10">
        <v>79</v>
      </c>
      <c r="E51" t="s" s="9">
        <v>79</v>
      </c>
      <c r="F51" s="11">
        <f>='03_Дальность'!C63</f>
      </c>
      <c r="G51" s="9"/>
    </row>
    <row r="52" spans="1:7">
      <c r="A52" t="s" s="9">
        <v>229</v>
      </c>
      <c r="B52" t="s" s="9">
        <v>230</v>
      </c>
      <c r="C52" t="s" s="10">
        <v>79</v>
      </c>
      <c r="D52" t="s" s="10">
        <v>79</v>
      </c>
      <c r="E52" t="s" s="9">
        <v>79</v>
      </c>
      <c r="F52" s="11">
        <f>='03_Дальность'!C64</f>
      </c>
      <c r="G52" s="9"/>
    </row>
    <row r="53" spans="1:7">
      <c r="A53" t="s" s="9">
        <v>232</v>
      </c>
      <c r="B53" t="s" s="9">
        <v>233</v>
      </c>
      <c r="C53" t="s" s="10">
        <v>79</v>
      </c>
      <c r="D53" t="s" s="10">
        <v>79</v>
      </c>
      <c r="E53" t="s" s="9">
        <v>79</v>
      </c>
      <c r="F53" s="11">
        <f>='06_Масса_I'!C33</f>
      </c>
      <c r="G53" s="9"/>
    </row>
    <row r="54" spans="1:7">
      <c r="A54" t="s" s="23">
        <v>235</v>
      </c>
      <c r="B54" s="23"/>
      <c r="C54" s="23"/>
      <c r="D54" s="23"/>
      <c r="E54" s="23"/>
      <c r="F54" s="23"/>
      <c r="G54" s="23"/>
    </row>
    <row r="55" spans="1:7">
      <c r="A55" t="s" s="9">
        <v>236</v>
      </c>
      <c r="B55" t="s" s="9">
        <v>237</v>
      </c>
      <c r="C55" t="s" s="10">
        <v>79</v>
      </c>
      <c r="D55" t="s" s="10">
        <v>79</v>
      </c>
      <c r="E55" t="s" s="9">
        <v>238</v>
      </c>
      <c r="F55" s="11">
        <f>='08_Масса_II'!C44</f>
      </c>
      <c r="G55" s="9"/>
    </row>
    <row r="56" spans="1:7">
      <c r="A56" t="s" s="9">
        <v>240</v>
      </c>
      <c r="B56" t="s" s="9">
        <v>241</v>
      </c>
      <c r="C56" t="s" s="10">
        <v>79</v>
      </c>
      <c r="D56" t="s" s="10">
        <v>79</v>
      </c>
      <c r="E56" t="s" s="9">
        <v>242</v>
      </c>
      <c r="F56" t="s" s="11">
        <v>243</v>
      </c>
      <c r="G56" s="9"/>
    </row>
    <row r="57" spans="1:7">
      <c r="A57" t="s" s="9">
        <v>244</v>
      </c>
      <c r="B57" t="s" s="9">
        <v>245</v>
      </c>
      <c r="C57" t="s" s="10">
        <v>79</v>
      </c>
      <c r="D57" t="s" s="10">
        <v>79</v>
      </c>
      <c r="E57" t="s" s="9">
        <v>246</v>
      </c>
      <c r="F57" t="s" s="11">
        <v>247</v>
      </c>
      <c r="G57" s="9"/>
    </row>
    <row r="58" spans="1:7">
      <c r="A58" t="s" s="9">
        <v>248</v>
      </c>
      <c r="B58" t="s" s="9">
        <v>249</v>
      </c>
      <c r="C58" t="s" s="10">
        <v>79</v>
      </c>
      <c r="D58" t="s" s="10">
        <v>79</v>
      </c>
      <c r="E58" t="s" s="9">
        <v>250</v>
      </c>
      <c r="F58" s="11">
        <f>='08_Масса_II'!C48</f>
      </c>
      <c r="G58" s="9"/>
    </row>
    <row r="59" spans="1:7">
      <c r="A59" t="s" s="9">
        <v>252</v>
      </c>
      <c r="B59" t="s" s="9">
        <v>253</v>
      </c>
      <c r="C59" t="s" s="10">
        <v>79</v>
      </c>
      <c r="D59" t="s" s="10">
        <v>79</v>
      </c>
      <c r="E59" t="s" s="9">
        <v>254</v>
      </c>
      <c r="F59" s="11">
        <f>='08_Масса_II'!C57</f>
      </c>
      <c r="G59" s="9"/>
    </row>
    <row r="60" spans="1:7">
      <c r="A60" t="s" s="9">
        <v>256</v>
      </c>
      <c r="B60" t="s" s="9">
        <v>257</v>
      </c>
      <c r="C60" t="s" s="10">
        <v>79</v>
      </c>
      <c r="D60" t="s" s="10">
        <v>79</v>
      </c>
      <c r="E60" t="s" s="9">
        <v>258</v>
      </c>
      <c r="F60" s="11">
        <f>='06_Масса_I'!C34/2</f>
      </c>
      <c r="G60" s="9"/>
    </row>
    <row r="61" spans="1:7">
      <c r="A61" t="s" s="9">
        <v>260</v>
      </c>
      <c r="B61" t="s" s="9">
        <v>261</v>
      </c>
      <c r="C61" t="s" s="10">
        <v>79</v>
      </c>
      <c r="D61" t="s" s="10">
        <v>79</v>
      </c>
      <c r="E61" t="s" s="9">
        <v>262</v>
      </c>
      <c r="F61" s="11">
        <f>='08_Масса_II'!C56</f>
      </c>
      <c r="G61" s="9"/>
    </row>
    <row r="62" spans="1:7">
      <c r="A62" t="s" s="9">
        <v>263</v>
      </c>
      <c r="B62" t="s" s="9">
        <v>264</v>
      </c>
      <c r="C62" t="s" s="10">
        <v>79</v>
      </c>
      <c r="D62" t="s" s="10">
        <v>79</v>
      </c>
      <c r="E62" t="s" s="9">
        <v>265</v>
      </c>
      <c r="F62" s="11">
        <f>='08_Масса_II'!C34</f>
      </c>
      <c r="G62" s="9"/>
    </row>
    <row r="63" spans="1:7">
      <c r="A63" t="s" s="9">
        <v>267</v>
      </c>
      <c r="B63" t="s" s="9">
        <v>268</v>
      </c>
      <c r="C63" t="s" s="10">
        <v>79</v>
      </c>
      <c r="D63" t="s" s="10">
        <v>79</v>
      </c>
      <c r="E63" t="s" s="9">
        <v>269</v>
      </c>
      <c r="F63" s="11">
        <f>='08_Масса_II'!C28</f>
      </c>
      <c r="G63" s="9"/>
    </row>
    <row r="64" spans="1:7">
      <c r="A64" t="s" s="9">
        <v>271</v>
      </c>
      <c r="B64" t="s" s="9">
        <v>272</v>
      </c>
      <c r="C64" t="s" s="10">
        <v>79</v>
      </c>
      <c r="D64" t="s" s="10">
        <v>79</v>
      </c>
      <c r="E64" t="s" s="9">
        <v>273</v>
      </c>
      <c r="F64" s="11">
        <f>='08_Масса_II'!C29</f>
      </c>
      <c r="G64" s="9"/>
    </row>
    <row r="65" spans="1:7">
      <c r="A65" t="s" s="9">
        <v>275</v>
      </c>
      <c r="B65" t="s" s="9">
        <v>276</v>
      </c>
      <c r="C65" t="s" s="10">
        <v>79</v>
      </c>
      <c r="D65" t="s" s="10">
        <v>79</v>
      </c>
      <c r="E65" t="s" s="9">
        <v>277</v>
      </c>
      <c r="F65" s="11">
        <f>='08_Масса_II'!C31</f>
      </c>
      <c r="G65" s="9"/>
    </row>
    <row r="66" spans="1:7">
      <c r="A66" t="s" s="9">
        <v>279</v>
      </c>
      <c r="B66" t="s" s="9">
        <v>280</v>
      </c>
      <c r="C66" t="s" s="10">
        <v>79</v>
      </c>
      <c r="D66" t="s" s="10">
        <v>79</v>
      </c>
      <c r="E66" t="s" s="9">
        <v>281</v>
      </c>
      <c r="F66" s="11">
        <f>='08_Масса_II'!C32</f>
      </c>
      <c r="G66" s="9"/>
    </row>
    <row r="67" spans="1:7">
      <c r="A67" t="s" s="9">
        <v>283</v>
      </c>
      <c r="B67" t="s" s="9">
        <v>284</v>
      </c>
      <c r="C67" t="s" s="10">
        <v>79</v>
      </c>
      <c r="D67" t="s" s="10">
        <v>79</v>
      </c>
      <c r="E67" t="s" s="9">
        <v>285</v>
      </c>
      <c r="F67" s="11">
        <f>='08_Масса_II'!C8</f>
      </c>
      <c r="G67" s="9"/>
    </row>
    <row r="68" spans="1:7">
      <c r="A68" t="s" s="9">
        <v>287</v>
      </c>
      <c r="B68" t="s" s="9">
        <v>288</v>
      </c>
      <c r="C68" t="s" s="10">
        <v>79</v>
      </c>
      <c r="D68" t="s" s="10">
        <v>79</v>
      </c>
      <c r="E68" t="s" s="9">
        <v>289</v>
      </c>
      <c r="F68" s="11">
        <f>='08_Масса_II'!C7</f>
      </c>
      <c r="G68" s="9"/>
    </row>
    <row r="69" spans="1:7">
      <c r="A69" t="s" s="9">
        <v>291</v>
      </c>
      <c r="B69" t="s" s="9">
        <v>292</v>
      </c>
      <c r="C69" t="s" s="10">
        <v>79</v>
      </c>
      <c r="D69" t="s" s="10">
        <v>79</v>
      </c>
      <c r="E69" t="s" s="9">
        <v>293</v>
      </c>
      <c r="F69" s="11">
        <f>='08_Масса_II'!C12</f>
      </c>
      <c r="G69" s="9"/>
    </row>
    <row r="70" spans="1:7">
      <c r="A70" t="s" s="9">
        <v>295</v>
      </c>
      <c r="B70" t="s" s="9">
        <v>296</v>
      </c>
      <c r="C70" t="s" s="10">
        <v>79</v>
      </c>
      <c r="D70" t="s" s="10">
        <v>79</v>
      </c>
      <c r="E70" t="s" s="9">
        <v>293</v>
      </c>
      <c r="F70" s="11">
        <f>='08_Масса_II'!C13</f>
      </c>
      <c r="G70" s="9"/>
    </row>
    <row r="71" spans="1:7">
      <c r="A71" t="s" s="9">
        <v>298</v>
      </c>
      <c r="B71" t="s" s="9">
        <v>299</v>
      </c>
      <c r="C71" t="s" s="10">
        <v>79</v>
      </c>
      <c r="D71" t="s" s="10">
        <v>79</v>
      </c>
      <c r="E71" t="s" s="9">
        <v>300</v>
      </c>
      <c r="F71" s="11">
        <f>='08_Масса_II'!C160</f>
      </c>
      <c r="G71" s="9"/>
    </row>
    <row r="72" spans="1:7">
      <c r="A72" t="s" s="9">
        <v>302</v>
      </c>
      <c r="B72" t="s" s="9">
        <v>303</v>
      </c>
      <c r="C72" t="s" s="10">
        <v>79</v>
      </c>
      <c r="D72" t="s" s="10">
        <v>79</v>
      </c>
      <c r="E72" t="s" s="9">
        <v>304</v>
      </c>
      <c r="F72" s="11">
        <f>='08_Масса_II'!C161</f>
      </c>
      <c r="G72" s="9"/>
    </row>
    <row r="73" spans="1:7">
      <c r="A73" t="s" s="9">
        <v>306</v>
      </c>
      <c r="B73" t="s" s="9">
        <v>307</v>
      </c>
      <c r="C73" t="s" s="10">
        <v>79</v>
      </c>
      <c r="D73" t="s" s="10">
        <v>79</v>
      </c>
      <c r="E73" t="s" s="9">
        <v>308</v>
      </c>
      <c r="F73" s="11">
        <f>='08_Масса_II'!C69</f>
      </c>
      <c r="G73" s="9"/>
    </row>
    <row r="74" spans="1:7">
      <c r="A74" t="s" s="9">
        <v>310</v>
      </c>
      <c r="B74" t="s" s="9">
        <v>311</v>
      </c>
      <c r="C74" t="s" s="10">
        <v>79</v>
      </c>
      <c r="D74" t="s" s="10">
        <v>79</v>
      </c>
      <c r="E74" t="s" s="9">
        <v>312</v>
      </c>
      <c r="F74" s="11">
        <f>='08_Масса_II'!C70</f>
      </c>
      <c r="G74" s="9"/>
    </row>
    <row r="75" spans="1:7">
      <c r="A75" t="s" s="23">
        <v>314</v>
      </c>
      <c r="B75" s="23"/>
      <c r="C75" s="23"/>
      <c r="D75" s="23"/>
      <c r="E75" s="23"/>
      <c r="F75" s="23"/>
      <c r="G75" s="23"/>
    </row>
    <row r="76" spans="1:7">
      <c r="A76" t="s" s="9">
        <v>315</v>
      </c>
      <c r="B76" t="s" s="9">
        <v>316</v>
      </c>
      <c r="C76" t="s" s="10">
        <v>317</v>
      </c>
      <c r="D76" t="s" s="10">
        <v>318</v>
      </c>
      <c r="E76" t="s" s="9">
        <v>319</v>
      </c>
      <c r="F76" s="11">
        <f>='05_Аэродинамика'!C28</f>
      </c>
      <c r="G76" s="9"/>
    </row>
    <row r="77" spans="1:7">
      <c r="A77" t="s" s="9">
        <v>321</v>
      </c>
      <c r="B77" t="s" s="9">
        <v>322</v>
      </c>
      <c r="C77" t="s" s="10">
        <v>124</v>
      </c>
      <c r="D77" t="s" s="10">
        <v>124</v>
      </c>
      <c r="E77" t="s" s="9">
        <v>323</v>
      </c>
      <c r="F77" s="11">
        <f>='05_Аэродинамика'!C41</f>
      </c>
      <c r="G77" s="9"/>
    </row>
    <row r="78" spans="1:7">
      <c r="A78" t="s" s="9">
        <v>325</v>
      </c>
      <c r="B78" t="s" s="9">
        <v>326</v>
      </c>
      <c r="C78" t="s" s="10">
        <v>124</v>
      </c>
      <c r="D78" t="s" s="10">
        <v>124</v>
      </c>
      <c r="E78" t="s" s="9">
        <v>79</v>
      </c>
      <c r="F78" t="s" s="11">
        <v>327</v>
      </c>
      <c r="G78" s="9"/>
    </row>
    <row r="79" spans="1:7">
      <c r="A79" t="s" s="9">
        <v>328</v>
      </c>
      <c r="B79" t="s" s="9">
        <v>329</v>
      </c>
      <c r="C79" t="s" s="10">
        <v>124</v>
      </c>
      <c r="D79" t="s" s="10">
        <v>124</v>
      </c>
      <c r="E79" t="s" s="9">
        <v>79</v>
      </c>
      <c r="F79" t="s" s="11">
        <v>327</v>
      </c>
      <c r="G79" s="9"/>
    </row>
    <row r="80" spans="1:7">
      <c r="A80" t="s" s="9">
        <v>330</v>
      </c>
      <c r="B80" t="s" s="9">
        <v>331</v>
      </c>
      <c r="C80" t="s" s="10">
        <v>124</v>
      </c>
      <c r="D80" t="s" s="10">
        <v>124</v>
      </c>
      <c r="E80" t="s" s="9">
        <v>79</v>
      </c>
      <c r="F80" s="11">
        <f>='05_Аэродинамика'!C29</f>
      </c>
      <c r="G80" s="9"/>
    </row>
    <row r="81" spans="1:7">
      <c r="A81" t="s" s="9">
        <v>333</v>
      </c>
      <c r="B81" t="s" s="9">
        <v>334</v>
      </c>
      <c r="C81" t="s" s="10">
        <v>124</v>
      </c>
      <c r="D81" t="s" s="10">
        <v>124</v>
      </c>
      <c r="E81" t="s" s="9">
        <v>335</v>
      </c>
      <c r="F81" s="11">
        <f>='05_Аэродинамика'!C39</f>
      </c>
      <c r="G81" s="9"/>
    </row>
    <row r="82" spans="1:7">
      <c r="A82" t="s" s="9">
        <v>337</v>
      </c>
      <c r="B82" t="s" s="9">
        <v>338</v>
      </c>
      <c r="C82" t="s" s="10">
        <v>124</v>
      </c>
      <c r="D82" t="s" s="10">
        <v>124</v>
      </c>
      <c r="E82" t="s" s="9">
        <v>79</v>
      </c>
      <c r="F82" t="s" s="11">
        <v>339</v>
      </c>
      <c r="G82" s="9"/>
    </row>
    <row r="83" spans="1:7">
      <c r="A83" t="s" s="9">
        <v>340</v>
      </c>
      <c r="B83" t="s" s="9">
        <v>341</v>
      </c>
      <c r="C83" t="s" s="10">
        <v>124</v>
      </c>
      <c r="D83" t="s" s="10">
        <v>124</v>
      </c>
      <c r="E83" t="s" s="9">
        <v>342</v>
      </c>
      <c r="F83" s="11">
        <f>='07_p0_P0'!C56</f>
      </c>
      <c r="G83" s="9"/>
    </row>
    <row r="84" spans="1:7">
      <c r="A84" t="s" s="9">
        <v>344</v>
      </c>
      <c r="B84" t="s" s="9">
        <v>345</v>
      </c>
      <c r="C84" t="s" s="10">
        <v>124</v>
      </c>
      <c r="D84" t="s" s="10">
        <v>124</v>
      </c>
      <c r="E84" t="s" s="9">
        <v>342</v>
      </c>
      <c r="F84" s="11">
        <f>='07_p0_P0'!C69</f>
      </c>
      <c r="G84" s="9"/>
    </row>
    <row r="85" spans="1:7">
      <c r="A85" t="s" s="9">
        <v>347</v>
      </c>
      <c r="B85" t="s" s="9">
        <v>348</v>
      </c>
      <c r="C85" t="s" s="10">
        <v>124</v>
      </c>
      <c r="D85" t="s" s="10">
        <v>124</v>
      </c>
      <c r="E85" t="s" s="9">
        <v>349</v>
      </c>
      <c r="F85" s="11">
        <f>='07_p0_P0'!C35</f>
      </c>
      <c r="G85" s="9"/>
    </row>
    <row r="86" spans="1:7">
      <c r="A86" t="s" s="9">
        <v>351</v>
      </c>
      <c r="B86" t="s" s="9">
        <v>352</v>
      </c>
      <c r="C86" t="s" s="10">
        <v>124</v>
      </c>
      <c r="D86" t="s" s="10">
        <v>124</v>
      </c>
      <c r="E86" t="s" s="9">
        <v>353</v>
      </c>
      <c r="F86" s="11">
        <f>='07_p0_P0'!C34</f>
      </c>
      <c r="G86" s="9"/>
    </row>
    <row r="87" spans="1:7">
      <c r="A87" t="s" s="9">
        <v>355</v>
      </c>
      <c r="B87" t="s" s="9">
        <v>356</v>
      </c>
      <c r="C87" t="s" s="10">
        <v>79</v>
      </c>
      <c r="D87" t="s" s="10">
        <v>79</v>
      </c>
      <c r="E87" t="s" s="9">
        <v>79</v>
      </c>
      <c r="F87" s="11">
        <f>='07_p0_P0'!C20</f>
      </c>
      <c r="G87" s="9"/>
    </row>
    <row r="88" spans="1:7">
      <c r="A88" t="s" s="9">
        <v>358</v>
      </c>
      <c r="B88" t="s" s="9">
        <v>359</v>
      </c>
      <c r="C88" t="s" s="10">
        <v>79</v>
      </c>
      <c r="D88" t="s" s="10">
        <v>79</v>
      </c>
      <c r="E88" t="s" s="9">
        <v>360</v>
      </c>
      <c r="F88" s="11">
        <f>='05_Аэродинамика'!C35</f>
      </c>
      <c r="G88" s="9"/>
    </row>
    <row r="89" spans="1:7">
      <c r="A89" t="s" s="9">
        <v>362</v>
      </c>
      <c r="B89" t="s" s="9">
        <v>363</v>
      </c>
      <c r="C89" t="s" s="10">
        <v>79</v>
      </c>
      <c r="D89" t="s" s="10">
        <v>79</v>
      </c>
      <c r="E89" t="s" s="9">
        <v>360</v>
      </c>
      <c r="F89" t="s" s="11">
        <v>364</v>
      </c>
      <c r="G89" s="9"/>
    </row>
    <row r="90" spans="1:7">
      <c r="A90" t="s" s="9">
        <v>365</v>
      </c>
      <c r="B90" t="s" s="9">
        <v>366</v>
      </c>
      <c r="C90" t="s" s="10">
        <v>79</v>
      </c>
      <c r="D90" t="s" s="10">
        <v>79</v>
      </c>
      <c r="E90" t="s" s="9">
        <v>367</v>
      </c>
      <c r="F90" s="11">
        <f>='05_Аэродинамика'!C36</f>
      </c>
      <c r="G90" s="9"/>
    </row>
    <row r="91" spans="1:7">
      <c r="A91" t="s" s="23">
        <v>369</v>
      </c>
      <c r="B91" s="23"/>
      <c r="C91" s="23"/>
      <c r="D91" s="23"/>
      <c r="E91" s="23"/>
      <c r="F91" s="23"/>
      <c r="G91" s="23"/>
    </row>
    <row r="92" spans="1:7">
      <c r="A92" t="s" s="9">
        <v>370</v>
      </c>
      <c r="B92" t="s" s="9">
        <v>371</v>
      </c>
      <c r="C92" t="s" s="10">
        <v>372</v>
      </c>
      <c r="D92" t="s" s="10">
        <v>79</v>
      </c>
      <c r="E92" t="s" s="9">
        <v>373</v>
      </c>
      <c r="F92" s="11">
        <f>='03_Дальность'!C33</f>
      </c>
      <c r="G92" s="9"/>
    </row>
    <row r="93" spans="1:7">
      <c r="A93" t="s" s="9">
        <v>375</v>
      </c>
      <c r="B93" t="s" s="9">
        <v>376</v>
      </c>
      <c r="C93" t="s" s="10">
        <v>377</v>
      </c>
      <c r="D93" t="s" s="10">
        <v>79</v>
      </c>
      <c r="E93" t="s" s="9">
        <v>378</v>
      </c>
      <c r="F93" t="s" s="11">
        <v>79</v>
      </c>
      <c r="G93" s="9"/>
    </row>
    <row r="94" spans="1:7">
      <c r="A94" t="s" s="9">
        <v>379</v>
      </c>
      <c r="B94" t="s" s="9">
        <v>380</v>
      </c>
      <c r="C94" t="s" s="10">
        <v>381</v>
      </c>
      <c r="D94" t="s" s="10">
        <v>79</v>
      </c>
      <c r="E94" t="s" s="9">
        <v>79</v>
      </c>
      <c r="F94" s="11">
        <f>='05_Аэродинамика'!C15</f>
      </c>
      <c r="G94" s="9"/>
    </row>
    <row r="95" spans="1:7">
      <c r="A95" t="s" s="9">
        <v>383</v>
      </c>
      <c r="B95" t="s" s="9">
        <v>384</v>
      </c>
      <c r="C95" t="s" s="10">
        <v>79</v>
      </c>
      <c r="D95" t="s" s="10">
        <v>79</v>
      </c>
      <c r="E95" t="s" s="9">
        <v>385</v>
      </c>
      <c r="F95" s="11">
        <f>='07_p0_P0'!C39</f>
      </c>
      <c r="G95" s="9"/>
    </row>
    <row r="96" spans="1:7">
      <c r="A96" t="s" s="9">
        <v>387</v>
      </c>
      <c r="B96" t="s" s="9">
        <v>388</v>
      </c>
      <c r="C96" t="s" s="10">
        <v>79</v>
      </c>
      <c r="D96" t="s" s="10">
        <v>79</v>
      </c>
      <c r="E96" t="s" s="9">
        <v>389</v>
      </c>
      <c r="F96" s="11">
        <f>='07_p0_P0'!C71</f>
      </c>
      <c r="G96" s="9"/>
    </row>
    <row r="97" spans="1:7">
      <c r="A97" t="s" s="9">
        <v>391</v>
      </c>
      <c r="B97" t="s" s="9">
        <v>392</v>
      </c>
      <c r="C97" t="s" s="10">
        <v>79</v>
      </c>
      <c r="D97" t="s" s="10">
        <v>79</v>
      </c>
      <c r="E97" t="s" s="9">
        <v>79</v>
      </c>
      <c r="F97" s="11">
        <f>='06_Масса_I'!C32</f>
      </c>
      <c r="G97" s="9"/>
    </row>
    <row r="98" spans="1:7">
      <c r="A98" t="s" s="9">
        <v>394</v>
      </c>
      <c r="B98" t="s" s="9">
        <v>79</v>
      </c>
      <c r="C98" t="s" s="10">
        <v>395</v>
      </c>
      <c r="D98" t="s" s="10">
        <v>396</v>
      </c>
      <c r="E98" t="s" s="9">
        <v>79</v>
      </c>
      <c r="F98" t="s" s="11">
        <v>79</v>
      </c>
      <c r="G98" s="9"/>
    </row>
    <row r="99" spans="1:7">
      <c r="A99" t="s" s="9">
        <v>397</v>
      </c>
      <c r="B99" t="s" s="9">
        <v>398</v>
      </c>
      <c r="C99" t="s" s="10">
        <v>399</v>
      </c>
      <c r="D99" t="s" s="10">
        <v>400</v>
      </c>
      <c r="E99" t="s" s="9">
        <v>79</v>
      </c>
      <c r="F99" s="11">
        <f>='07_p0_P0'!C102</f>
      </c>
      <c r="G99" s="9"/>
    </row>
    <row r="100" spans="1:7">
      <c r="A100" t="s" s="9">
        <v>402</v>
      </c>
      <c r="B100" t="s" s="9">
        <v>403</v>
      </c>
      <c r="C100" t="s" s="10">
        <v>404</v>
      </c>
      <c r="D100" t="s" s="10">
        <v>405</v>
      </c>
      <c r="E100" t="s" s="9">
        <v>79</v>
      </c>
      <c r="F100" s="11">
        <f>='07_p0_P0'!C102/'07_p0_P0'!C37</f>
      </c>
      <c r="G100" s="9"/>
    </row>
    <row r="101" spans="1:7">
      <c r="A101" t="s" s="9">
        <v>407</v>
      </c>
      <c r="B101" t="s" s="9">
        <v>408</v>
      </c>
      <c r="C101" t="s" s="10">
        <v>409</v>
      </c>
      <c r="D101" t="s" s="10">
        <v>410</v>
      </c>
      <c r="E101" t="s" s="9">
        <v>79</v>
      </c>
      <c r="F101" s="11">
        <f>='08_Масса_II'!C68</f>
      </c>
      <c r="G101" s="9"/>
    </row>
    <row r="102" spans="1:7">
      <c r="A102" t="s" s="9">
        <v>412</v>
      </c>
      <c r="B102" t="s" s="9">
        <v>413</v>
      </c>
      <c r="C102" t="s" s="10">
        <v>414</v>
      </c>
      <c r="D102" t="s" s="10">
        <v>410</v>
      </c>
      <c r="E102" t="s" s="9">
        <v>79</v>
      </c>
      <c r="F102" s="11">
        <f>='08_Масса_II'!C67</f>
      </c>
      <c r="G102" s="9"/>
    </row>
    <row r="103" spans="1:7">
      <c r="A103" t="s" s="9">
        <v>415</v>
      </c>
      <c r="B103" t="s" s="9">
        <v>416</v>
      </c>
      <c r="C103" t="s" s="10">
        <v>417</v>
      </c>
      <c r="D103" t="s" s="10">
        <v>418</v>
      </c>
      <c r="E103" t="s" s="9">
        <v>79</v>
      </c>
      <c r="F103" s="11">
        <f>='07_p0_P0'!C37</f>
      </c>
      <c r="G103" s="9"/>
    </row>
    <row r="104" spans="1:7">
      <c r="A104" t="s" s="9">
        <v>420</v>
      </c>
      <c r="B104" t="s" s="9">
        <v>421</v>
      </c>
      <c r="C104" t="s" s="10">
        <v>422</v>
      </c>
      <c r="D104" t="s" s="10">
        <v>124</v>
      </c>
      <c r="E104" t="s" s="9">
        <v>423</v>
      </c>
      <c r="F104" s="11">
        <f>='08_Масса_II'!C72</f>
      </c>
      <c r="G104" s="9"/>
    </row>
    <row r="105" spans="1:7">
      <c r="A105" t="s" s="9">
        <v>425</v>
      </c>
      <c r="B105" t="s" s="9">
        <v>426</v>
      </c>
      <c r="C105" t="s" s="10">
        <v>427</v>
      </c>
      <c r="D105" t="s" s="10">
        <v>410</v>
      </c>
      <c r="E105" t="s" s="9">
        <v>79</v>
      </c>
      <c r="F105" s="11">
        <f>='06_Масса_I'!C24</f>
      </c>
      <c r="G105" s="9"/>
    </row>
    <row r="106" spans="1:7">
      <c r="A106" t="s" s="9">
        <v>429</v>
      </c>
      <c r="B106" t="s" s="9">
        <v>430</v>
      </c>
      <c r="C106" t="s" s="10">
        <v>431</v>
      </c>
      <c r="D106" t="s" s="10">
        <v>432</v>
      </c>
      <c r="E106" t="s" s="9">
        <v>433</v>
      </c>
      <c r="F106" s="11">
        <f>='06_Масса_I'!C23</f>
      </c>
      <c r="G106" s="9"/>
    </row>
    <row r="107" spans="1:7">
      <c r="A107" t="s" s="9">
        <v>435</v>
      </c>
      <c r="B107" t="s" s="9">
        <v>436</v>
      </c>
      <c r="C107" t="s" s="10">
        <v>79</v>
      </c>
      <c r="D107" t="s" s="10">
        <v>79</v>
      </c>
      <c r="E107" t="s" s="9">
        <v>79</v>
      </c>
      <c r="F107" s="11">
        <f>='07_p0_P0'!C24</f>
      </c>
      <c r="G107" s="9"/>
    </row>
    <row r="108" spans="1:7">
      <c r="A108" t="s" s="9">
        <v>438</v>
      </c>
      <c r="B108" t="s" s="9">
        <v>439</v>
      </c>
      <c r="C108" t="s" s="10">
        <v>79</v>
      </c>
      <c r="D108" t="s" s="10">
        <v>79</v>
      </c>
      <c r="E108" t="s" s="9">
        <v>440</v>
      </c>
      <c r="F108" t="s" s="11">
        <v>441</v>
      </c>
      <c r="G108" s="9"/>
    </row>
    <row r="109" spans="1:7">
      <c r="G109"/>
    </row>
    <row r="110" spans="1:7">
      <c r="G110"/>
    </row>
  </sheetData>
  <mergeCells count="9">
    <mergeCell ref="A1:G1"/>
    <mergeCell ref="A2:G2"/>
    <mergeCell ref="A5:G5"/>
    <mergeCell ref="A13:G13"/>
    <mergeCell ref="A29:G29"/>
    <mergeCell ref="A39:G39"/>
    <mergeCell ref="A54:G54"/>
    <mergeCell ref="A75:G75"/>
    <mergeCell ref="A91:G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F7A2-974E-4C41-B587-A5CAF56D61F2}">
  <dimension ref="A1:F21"/>
  <sheetViews>
    <sheetView tabSelected="0" workbookViewId="0"/>
  </sheetViews>
  <sheetFormatPr baseColWidth="10" defaultRowHeight="16" x14ac:dyDescent="0.2"/>
  <cols>
    <col max="4" min="4" width="18.7109375" customWidth="1"/>
    <col max="1" min="1" width="44.7109375" customWidth="1"/>
    <col max="5" min="5" width="42.7109375" customWidth="1"/>
    <col max="2" min="2" width="13.7109375" customWidth="1"/>
    <col max="6" min="6" width="38.7109375" customWidth="1"/>
    <col max="3" min="3" width="18.7109375" customWidth="1"/>
  </cols>
  <sheetData>
    <row r="1" spans="1:6" ht="28.2109375" customHeight="1">
      <c r="A1" t="s" s="3">
        <v>442</v>
      </c>
      <c r="B1"/>
      <c r="C1"/>
      <c r="D1"/>
      <c r="E1"/>
      <c r="F1"/>
    </row>
    <row r="3" spans="1:6">
      <c r="A3" t="s" s="7">
        <v>65</v>
      </c>
      <c r="B3" t="s" s="7">
        <v>2</v>
      </c>
      <c r="C3" t="s" s="7">
        <v>3</v>
      </c>
      <c r="D3" t="s" s="7">
        <v>4</v>
      </c>
      <c r="E3" t="s" s="7">
        <v>19</v>
      </c>
      <c r="F3" t="s" s="7">
        <v>443</v>
      </c>
    </row>
    <row r="4" spans="1:6">
      <c r="A4" t="s" s="9">
        <v>13</v>
      </c>
      <c r="B4" t="s" s="9">
        <v>14</v>
      </c>
      <c r="C4" t="n" s="12">
        <v>38329</v>
      </c>
      <c r="D4" t="n" s="12">
        <v>41730</v>
      </c>
      <c r="E4" s="9"/>
      <c r="F4" t="s" s="9">
        <v>444</v>
      </c>
    </row>
    <row r="5" spans="1:6">
      <c r="A5" t="s" s="9">
        <v>445</v>
      </c>
      <c r="B5" t="s" s="9">
        <v>446</v>
      </c>
      <c r="C5" t="n" s="12">
        <v>71.07</v>
      </c>
      <c r="D5" t="n" s="12">
        <v>93.5</v>
      </c>
      <c r="E5" s="9"/>
      <c r="F5" t="s" s="9">
        <v>444</v>
      </c>
    </row>
    <row r="6" spans="1:6">
      <c r="A6" t="s" s="9">
        <v>447</v>
      </c>
      <c r="B6" t="s" s="9">
        <v>41</v>
      </c>
      <c r="C6" t="n" s="12">
        <v>24.85</v>
      </c>
      <c r="D6" t="n" s="12">
        <v>28.076</v>
      </c>
      <c r="E6" t="s" s="9">
        <v>448</v>
      </c>
      <c r="F6" t="s" s="9">
        <v>444</v>
      </c>
    </row>
    <row r="7" spans="1:6">
      <c r="A7" t="s" s="9">
        <v>449</v>
      </c>
      <c r="B7" t="s" s="9">
        <v>450</v>
      </c>
      <c r="C7" s="13">
        <f>=C6^2/C5</f>
      </c>
      <c r="D7" s="13">
        <f>=D6^2/D5</f>
      </c>
      <c r="E7" t="s" s="9">
        <v>451</v>
      </c>
      <c r="F7" t="s" s="9">
        <v>452</v>
      </c>
    </row>
    <row r="8" spans="1:6">
      <c r="A8" t="s" s="9">
        <v>453</v>
      </c>
      <c r="B8" t="s" s="9">
        <v>454</v>
      </c>
      <c r="C8" t="n" s="12">
        <v>129</v>
      </c>
      <c r="D8" t="n" s="12">
        <v>123.22</v>
      </c>
      <c r="E8" s="9"/>
      <c r="F8" t="s" s="9">
        <v>455</v>
      </c>
    </row>
    <row r="9" spans="1:6">
      <c r="A9" t="s" s="9">
        <v>456</v>
      </c>
      <c r="B9" t="s" s="9">
        <v>457</v>
      </c>
      <c r="C9" s="13">
        <f>=C4/C5</f>
      </c>
      <c r="D9" s="13">
        <f>=D4/D5</f>
      </c>
      <c r="E9" t="s" s="9">
        <v>458</v>
      </c>
      <c r="F9" t="s" s="9">
        <v>459</v>
      </c>
    </row>
    <row r="10" spans="1:6">
      <c r="A10" t="s" s="9">
        <v>460</v>
      </c>
      <c r="B10" t="s" s="9">
        <v>450</v>
      </c>
      <c r="C10" s="13">
        <f>=C8*1000/(C4*9.80665)</f>
      </c>
      <c r="D10" s="13">
        <f>=D8*1000/(D4*9.80665)</f>
      </c>
      <c r="E10" t="s" s="9">
        <v>461</v>
      </c>
      <c r="F10" t="s" s="9">
        <v>462</v>
      </c>
    </row>
    <row r="11" spans="1:6">
      <c r="A11" t="s" s="9">
        <v>463</v>
      </c>
      <c r="B11" t="s" s="9">
        <v>14</v>
      </c>
      <c r="C11" t="n" s="12">
        <v>33340</v>
      </c>
      <c r="D11" t="n" s="12">
        <v>36740</v>
      </c>
      <c r="E11" s="9"/>
      <c r="F11" t="s" s="9">
        <v>444</v>
      </c>
    </row>
    <row r="12" spans="1:6">
      <c r="A12" t="s" s="9">
        <v>464</v>
      </c>
      <c r="B12" t="s" s="9">
        <v>14</v>
      </c>
      <c r="C12" t="n" s="12">
        <v>31751.465900000003</v>
      </c>
      <c r="D12" t="n" s="12">
        <v>33565</v>
      </c>
      <c r="E12" s="9"/>
      <c r="F12" t="s" s="9">
        <v>444</v>
      </c>
    </row>
    <row r="13" spans="1:6">
      <c r="A13" t="s" s="9">
        <v>465</v>
      </c>
      <c r="B13" t="s" s="9">
        <v>14</v>
      </c>
      <c r="C13" t="n" s="12">
        <v>21772.43376</v>
      </c>
      <c r="D13" t="n" s="14">
        <v>22780</v>
      </c>
      <c r="E13" s="9"/>
      <c r="F13" t="s" s="9">
        <v>444</v>
      </c>
    </row>
    <row r="14" spans="1:6">
      <c r="A14" t="s" s="9">
        <v>466</v>
      </c>
      <c r="B14" t="s" s="9">
        <v>14</v>
      </c>
      <c r="C14" t="n" s="12">
        <v>9979.032140000001</v>
      </c>
      <c r="D14" t="n" s="14">
        <v>10780</v>
      </c>
      <c r="E14" s="9"/>
      <c r="F14" t="s" s="9">
        <v>444</v>
      </c>
    </row>
    <row r="15" spans="1:6">
      <c r="A15" t="s" s="9">
        <v>467</v>
      </c>
      <c r="B15" t="s" s="9">
        <v>14</v>
      </c>
      <c r="C15" t="n" s="12">
        <v>8888</v>
      </c>
      <c r="D15" t="n" s="12">
        <v>10731</v>
      </c>
      <c r="E15" t="s" s="9">
        <v>468</v>
      </c>
      <c r="F15" t="s" s="9">
        <v>444</v>
      </c>
    </row>
    <row r="16" spans="1:6">
      <c r="A16" t="s" s="9">
        <v>469</v>
      </c>
      <c r="B16" t="s" s="9">
        <v>41</v>
      </c>
      <c r="C16" t="n" s="12">
        <v>36.24</v>
      </c>
      <c r="D16" t="n" s="12">
        <v>30.905</v>
      </c>
      <c r="E16" s="9"/>
      <c r="F16" t="s" s="9">
        <v>444</v>
      </c>
    </row>
    <row r="17" spans="1:6">
      <c r="A17" t="s" s="9">
        <v>470</v>
      </c>
      <c r="B17" t="s" s="9">
        <v>41</v>
      </c>
      <c r="C17" t="n" s="12">
        <v>33.5</v>
      </c>
      <c r="E17" s="9"/>
      <c r="F17" t="s" s="9">
        <v>444</v>
      </c>
    </row>
    <row r="18" spans="1:6">
      <c r="A18" t="s" s="9">
        <v>471</v>
      </c>
      <c r="B18" t="s" s="9">
        <v>446</v>
      </c>
      <c r="C18" t="n" s="12">
        <v>15.91</v>
      </c>
      <c r="E18" s="9"/>
      <c r="F18" t="s" s="9">
        <v>444</v>
      </c>
    </row>
    <row r="19" spans="1:6">
      <c r="A19" t="s" s="9">
        <v>472</v>
      </c>
      <c r="B19" t="s" s="9">
        <v>41</v>
      </c>
      <c r="C19" t="n" s="12">
        <v>8.54</v>
      </c>
      <c r="D19" t="n" s="12">
        <v>10.04</v>
      </c>
      <c r="E19" s="9"/>
      <c r="F19" t="s" s="9">
        <v>444</v>
      </c>
    </row>
    <row r="20" spans="1:6">
      <c r="A20" t="s" s="9">
        <v>473</v>
      </c>
      <c r="B20" t="s" s="9">
        <v>446</v>
      </c>
      <c r="C20" t="n" s="12">
        <v>11.09</v>
      </c>
      <c r="E20" s="9"/>
      <c r="F20" t="s" s="9">
        <v>444</v>
      </c>
    </row>
    <row r="21" spans="1:6">
      <c r="A21" t="s" s="9">
        <v>474</v>
      </c>
      <c r="B21" t="s" s="9">
        <v>446</v>
      </c>
      <c r="C21" s="13">
        <f>=C18+C20</f>
      </c>
      <c r="D21" s="13">
        <f>=D18+D20</f>
      </c>
      <c r="E21" t="s" s="9">
        <v>475</v>
      </c>
      <c r="F21" t="s" s="9">
        <v>476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9031-4B78-4517-A491-8D9934248A8D}">
  <dimension ref="A1:E80"/>
  <sheetViews>
    <sheetView tabSelected="0" workbookViewId="0"/>
  </sheetViews>
  <sheetFormatPr baseColWidth="10" defaultRowHeight="16" x14ac:dyDescent="0.2"/>
  <cols>
    <col max="4" min="4" width="0.7109375" customWidth="1"/>
    <col max="1" min="1" width="54.7109375" customWidth="1"/>
    <col max="5" min="5" width="58.7109375" customWidth="1"/>
    <col max="2" min="2" width="14.7109375" customWidth="1"/>
    <col max="3" min="3" width="22.7109375" customWidth="1"/>
  </cols>
  <sheetData>
    <row r="1" spans="1:5" ht="28.2109375" customHeight="1">
      <c r="A1" t="s" s="3">
        <v>477</v>
      </c>
      <c r="B1"/>
      <c r="C1"/>
      <c r="D1"/>
      <c r="E1"/>
    </row>
    <row r="3" spans="1:5">
      <c r="A3" t="s" s="7">
        <v>478</v>
      </c>
      <c r="B3" t="s" s="7">
        <v>2</v>
      </c>
      <c r="C3" t="s" s="7">
        <v>479</v>
      </c>
      <c r="D3" s="7"/>
      <c r="E3" t="s" s="7">
        <v>480</v>
      </c>
    </row>
    <row r="4" spans="1:5">
      <c r="D4"/>
    </row>
    <row r="5" spans="1:5">
      <c r="D5"/>
    </row>
    <row r="6" spans="1:5">
      <c r="A6" t="s" s="9">
        <v>481</v>
      </c>
      <c r="B6" t="s" s="9">
        <v>14</v>
      </c>
      <c r="C6" t="n" s="12">
        <v>38555</v>
      </c>
      <c r="D6" s="16"/>
      <c r="E6" t="s" s="9">
        <v>28</v>
      </c>
    </row>
    <row r="7" spans="1:5">
      <c r="A7" t="s" s="9">
        <v>482</v>
      </c>
      <c r="B7" t="s" s="9">
        <v>14</v>
      </c>
      <c r="C7" t="n" s="12">
        <v>38329</v>
      </c>
      <c r="D7" s="16"/>
      <c r="E7" t="s" s="9">
        <v>28</v>
      </c>
    </row>
    <row r="8" spans="1:5">
      <c r="A8" t="s" s="9">
        <v>464</v>
      </c>
      <c r="B8" t="s" s="9">
        <v>14</v>
      </c>
      <c r="C8" t="n" s="12">
        <v>31751.465900000003</v>
      </c>
      <c r="D8" s="16"/>
      <c r="E8" t="s" s="9">
        <v>28</v>
      </c>
    </row>
    <row r="9" spans="1:5">
      <c r="A9" t="s" s="9">
        <v>465</v>
      </c>
      <c r="B9" t="s" s="9">
        <v>14</v>
      </c>
      <c r="C9" t="n" s="12">
        <v>21772.43376</v>
      </c>
      <c r="D9" s="16"/>
      <c r="E9" t="s" s="9">
        <v>28</v>
      </c>
    </row>
    <row r="10" spans="1:5">
      <c r="A10" t="s" s="9">
        <v>483</v>
      </c>
      <c r="B10" t="s" s="9">
        <v>14</v>
      </c>
      <c r="C10" t="n" s="12">
        <v>9979.032140000001</v>
      </c>
      <c r="D10" s="16"/>
      <c r="E10" t="s" s="9">
        <v>28</v>
      </c>
    </row>
    <row r="11" spans="1:5">
      <c r="A11" t="s" s="9">
        <v>467</v>
      </c>
      <c r="B11" t="s" s="9">
        <v>14</v>
      </c>
      <c r="C11" t="n" s="12">
        <v>8888</v>
      </c>
      <c r="D11" s="16"/>
      <c r="E11" t="s" s="9">
        <v>484</v>
      </c>
    </row>
    <row r="12" spans="1:5">
      <c r="A12" t="s" s="9">
        <v>485</v>
      </c>
      <c r="B12" t="s" s="9">
        <v>11</v>
      </c>
      <c r="C12" t="n" s="12">
        <v>2407.6</v>
      </c>
      <c r="D12" s="16"/>
      <c r="E12" t="s" s="9">
        <v>486</v>
      </c>
    </row>
    <row r="13" spans="1:5">
      <c r="A13" t="s" s="9">
        <v>487</v>
      </c>
      <c r="B13" t="s" s="9">
        <v>14</v>
      </c>
      <c r="C13" t="n" s="12">
        <v>7801.788764000001</v>
      </c>
      <c r="D13" s="16"/>
      <c r="E13" t="s" s="9">
        <v>28</v>
      </c>
    </row>
    <row r="14" spans="1:5">
      <c r="A14" t="s" s="9">
        <v>488</v>
      </c>
      <c r="B14" t="s" s="9">
        <v>11</v>
      </c>
      <c r="C14" t="n" s="12">
        <v>3678.072</v>
      </c>
      <c r="D14" s="16"/>
      <c r="E14" t="s" s="9">
        <v>489</v>
      </c>
    </row>
    <row r="15" spans="1:5">
      <c r="A15" t="s" s="9">
        <v>490</v>
      </c>
      <c r="B15" t="s" s="9">
        <v>11</v>
      </c>
      <c r="C15" t="n" s="12">
        <v>4722.6</v>
      </c>
      <c r="D15" s="16"/>
      <c r="E15" t="s" s="9">
        <v>491</v>
      </c>
    </row>
    <row r="16" spans="1:5">
      <c r="D16"/>
    </row>
    <row r="17" spans="1:5">
      <c r="A17" t="s" s="7">
        <v>492</v>
      </c>
      <c r="B17" t="s" s="7">
        <v>2</v>
      </c>
      <c r="C17" t="s" s="17">
        <v>54</v>
      </c>
      <c r="D17" s="17"/>
      <c r="E17" t="s" s="7">
        <v>493</v>
      </c>
    </row>
    <row r="18" spans="1:5">
      <c r="A18" t="s" s="9">
        <v>494</v>
      </c>
      <c r="B18" t="s" s="9">
        <v>14</v>
      </c>
      <c r="C18" s="13">
        <f>=C6-C9</f>
      </c>
      <c r="D18" s="16"/>
      <c r="E18" t="s" s="9">
        <v>495</v>
      </c>
    </row>
    <row r="19" spans="1:5">
      <c r="A19" t="s" s="9">
        <v>496</v>
      </c>
      <c r="B19" t="s" s="9">
        <v>14</v>
      </c>
      <c r="C19" s="13">
        <f>=C18-C10</f>
      </c>
      <c r="D19" s="16"/>
      <c r="E19" t="s" s="9">
        <v>497</v>
      </c>
    </row>
    <row r="20" spans="1:5">
      <c r="A20" t="s" s="9">
        <v>498</v>
      </c>
      <c r="B20" t="s" s="9">
        <v>14</v>
      </c>
      <c r="C20" s="13">
        <f>=C7-C8</f>
      </c>
      <c r="D20" s="16"/>
      <c r="E20" t="s" s="9">
        <v>499</v>
      </c>
    </row>
    <row r="21" spans="1:5">
      <c r="A21" t="s" s="9">
        <v>500</v>
      </c>
      <c r="B21" t="s" s="9">
        <v>14</v>
      </c>
      <c r="C21" s="13">
        <f>=C19-C20</f>
      </c>
      <c r="D21" s="16"/>
      <c r="E21" t="s" s="9">
        <v>501</v>
      </c>
    </row>
    <row r="22" spans="1:5">
      <c r="A22" t="s" s="9">
        <v>502</v>
      </c>
      <c r="B22" t="s" s="9">
        <v>503</v>
      </c>
      <c r="C22" s="13">
        <f>=C20/C12</f>
      </c>
      <c r="D22" s="16"/>
      <c r="E22" t="s" s="9">
        <v>504</v>
      </c>
    </row>
    <row r="23" spans="1:5">
      <c r="A23" t="s" s="9">
        <v>505</v>
      </c>
      <c r="B23" t="s" s="9">
        <v>506</v>
      </c>
      <c r="C23" s="13">
        <f>=(C14-C12)/(C10-C13)</f>
      </c>
      <c r="D23" s="16"/>
      <c r="E23" t="s" s="9">
        <v>507</v>
      </c>
    </row>
    <row r="24" spans="1:5">
      <c r="A24" t="s" s="9">
        <v>508</v>
      </c>
      <c r="B24" t="s" s="9">
        <v>503</v>
      </c>
      <c r="C24" s="13">
        <f>=1/C23</f>
      </c>
      <c r="D24" s="16"/>
      <c r="E24" t="s" s="9">
        <v>509</v>
      </c>
    </row>
    <row r="25" spans="1:5">
      <c r="D25"/>
    </row>
    <row r="26" spans="1:5">
      <c r="A26" t="s" s="9">
        <v>510</v>
      </c>
      <c r="B26" t="s" s="9">
        <v>14</v>
      </c>
      <c r="C26" s="13">
        <f>=C6-C9-C11</f>
      </c>
      <c r="D26" s="16"/>
      <c r="E26" t="s" s="9">
        <v>511</v>
      </c>
    </row>
    <row r="27" spans="1:5">
      <c r="A27" t="s" s="9">
        <v>512</v>
      </c>
      <c r="B27" t="s" s="9">
        <v>14</v>
      </c>
      <c r="C27" s="13">
        <f>=C7-C9-C11</f>
      </c>
      <c r="D27" s="16"/>
      <c r="E27" t="s" s="9">
        <v>513</v>
      </c>
    </row>
    <row r="28" spans="1:5">
      <c r="A28" t="s" s="9">
        <v>514</v>
      </c>
      <c r="B28" t="s" s="9">
        <v>14</v>
      </c>
      <c r="C28" s="13">
        <f>=C13</f>
      </c>
      <c r="D28" s="16"/>
      <c r="E28" t="s" s="9">
        <v>515</v>
      </c>
    </row>
    <row r="29" spans="1:5">
      <c r="A29" t="s" s="9">
        <v>516</v>
      </c>
      <c r="B29" t="s" s="9">
        <v>14</v>
      </c>
      <c r="C29" s="13">
        <f>=C13-C27</f>
      </c>
      <c r="D29" s="16"/>
      <c r="E29" t="s" s="9">
        <v>517</v>
      </c>
    </row>
    <row r="30" spans="1:5">
      <c r="D30"/>
    </row>
    <row r="31" spans="1:5">
      <c r="A31" t="s" s="9">
        <v>380</v>
      </c>
      <c r="B31" t="s" s="9">
        <v>450</v>
      </c>
      <c r="C31" t="n" s="12">
        <v>0.7</v>
      </c>
      <c r="D31" s="16"/>
      <c r="E31" t="s" s="9">
        <v>518</v>
      </c>
    </row>
    <row r="32" spans="1:5">
      <c r="A32" t="s" s="7">
        <v>519</v>
      </c>
      <c r="B32" t="s" s="7">
        <v>2</v>
      </c>
      <c r="C32" t="s" s="17">
        <v>520</v>
      </c>
      <c r="D32" s="17"/>
      <c r="E32" t="s" s="7">
        <v>521</v>
      </c>
    </row>
    <row r="33" spans="1:5">
      <c r="A33" t="s" s="9">
        <v>371</v>
      </c>
      <c r="B33" t="s" s="9">
        <v>522</v>
      </c>
      <c r="C33" t="n" s="12">
        <v>1.0</v>
      </c>
      <c r="D33" s="16"/>
      <c r="E33" t="s" s="9">
        <v>523</v>
      </c>
    </row>
    <row r="34" spans="1:5">
      <c r="A34" t="s" s="9">
        <v>44</v>
      </c>
      <c r="B34" t="s" s="9">
        <v>45</v>
      </c>
      <c r="C34" s="12">
        <f>=C31*SQRT(1.4*287.05287*(288.15-0.0065*C58))*3.6</f>
      </c>
      <c r="D34" s="16"/>
      <c r="E34" t="s" s="9">
        <v>524</v>
      </c>
    </row>
    <row r="35" spans="1:5">
      <c r="A35" t="s" s="9">
        <v>525</v>
      </c>
      <c r="B35" t="s" s="9">
        <v>503</v>
      </c>
      <c r="C35" s="13">
        <f>=C24</f>
      </c>
      <c r="D35" s="16"/>
      <c r="E35" t="s" s="9">
        <v>526</v>
      </c>
    </row>
    <row r="36" spans="1:5">
      <c r="A36" t="s" s="9">
        <v>527</v>
      </c>
      <c r="B36" t="s" s="9">
        <v>14</v>
      </c>
      <c r="C36" s="13">
        <f>=C33*C34*C35</f>
      </c>
      <c r="D36" s="16"/>
      <c r="E36" t="s" s="9">
        <v>528</v>
      </c>
    </row>
    <row r="37" spans="1:5">
      <c r="D37"/>
    </row>
    <row r="38" spans="1:5">
      <c r="D38"/>
    </row>
    <row r="39" spans="1:5">
      <c r="A39" t="s" s="7">
        <v>529</v>
      </c>
      <c r="B39" t="s" s="7">
        <v>2</v>
      </c>
      <c r="C39" t="s" s="17">
        <v>54</v>
      </c>
      <c r="D39" s="17"/>
      <c r="E39" t="s" s="7">
        <v>530</v>
      </c>
    </row>
    <row r="40" spans="1:5">
      <c r="A40" t="s" s="9">
        <v>531</v>
      </c>
      <c r="B40" t="s" s="9">
        <v>11</v>
      </c>
      <c r="C40" s="13">
        <f>=0.941*(C19-1.24*C36)/C35</f>
      </c>
      <c r="D40" s="16"/>
      <c r="E40" s="28">
        <f>=(C40-C45)/C45</f>
      </c>
    </row>
    <row r="41" spans="1:5">
      <c r="A41" t="s" s="9">
        <v>532</v>
      </c>
      <c r="B41" t="s" s="9">
        <v>11</v>
      </c>
      <c r="C41" s="13">
        <f>=C19/C35</f>
      </c>
      <c r="D41" s="16"/>
      <c r="E41" t="s" s="9">
        <v>533</v>
      </c>
    </row>
    <row r="42" spans="1:5">
      <c r="A42" t="s" s="9">
        <v>534</v>
      </c>
      <c r="B42" t="s" s="9">
        <v>11</v>
      </c>
      <c r="C42" s="13">
        <f>=(C41-1052)/1.063</f>
      </c>
      <c r="D42" s="16"/>
      <c r="E42" s="28">
        <f>=(C42-C45)/C45</f>
      </c>
    </row>
    <row r="43" spans="1:5">
      <c r="A43" t="s" s="9">
        <v>535</v>
      </c>
      <c r="B43" t="s" s="9">
        <v>11</v>
      </c>
      <c r="C43" s="13">
        <f>=(C6-0.5*C19)/C35*LN(C7/(C6-C19))</f>
      </c>
      <c r="D43" s="16"/>
      <c r="E43" t="s" s="9">
        <v>536</v>
      </c>
    </row>
    <row r="44" spans="1:5">
      <c r="A44" t="s" s="9">
        <v>537</v>
      </c>
      <c r="B44" t="s" s="9">
        <v>11</v>
      </c>
      <c r="C44" s="13">
        <f>=(C43-1052)/1.063</f>
      </c>
      <c r="D44" s="16"/>
      <c r="E44" s="28">
        <f>=(C44-C45)/C45</f>
      </c>
    </row>
    <row r="45" spans="1:5">
      <c r="A45" t="s" s="9">
        <v>538</v>
      </c>
      <c r="B45" t="s" s="9">
        <v>11</v>
      </c>
      <c r="C45" t="n" s="12">
        <v>2407.6</v>
      </c>
      <c r="D45" s="16"/>
      <c r="E45" t="s" s="9">
        <v>539</v>
      </c>
    </row>
    <row r="46" spans="1:5">
      <c r="D46"/>
    </row>
    <row r="47" spans="1:5">
      <c r="D47"/>
    </row>
    <row r="48" spans="1:5">
      <c r="A48" t="s" s="7">
        <v>540</v>
      </c>
      <c r="B48" t="s" s="7">
        <v>2</v>
      </c>
      <c r="C48" t="s" s="17">
        <v>54</v>
      </c>
      <c r="D48" s="17"/>
      <c r="E48" t="s" s="7">
        <v>530</v>
      </c>
    </row>
    <row r="49" spans="1:5">
      <c r="A49" t="s" s="9">
        <v>541</v>
      </c>
      <c r="B49" t="s" s="9">
        <v>11</v>
      </c>
      <c r="C49" s="13">
        <f>=0.941*(C11-1.24*C36)/C35</f>
      </c>
      <c r="D49" s="16"/>
      <c r="E49" s="28">
        <f>=(C49-C54)/C54</f>
      </c>
    </row>
    <row r="50" spans="1:5">
      <c r="A50" t="s" s="9">
        <v>542</v>
      </c>
      <c r="B50" t="s" s="9">
        <v>11</v>
      </c>
      <c r="C50" s="13">
        <f>=C11/C35</f>
      </c>
      <c r="D50" s="16"/>
      <c r="E50" t="s" s="9">
        <v>543</v>
      </c>
    </row>
    <row r="51" spans="1:5">
      <c r="A51" t="s" s="9">
        <v>544</v>
      </c>
      <c r="B51" t="s" s="9">
        <v>11</v>
      </c>
      <c r="C51" s="13">
        <f>=(C50-1052)/1.063</f>
      </c>
      <c r="D51" s="16"/>
      <c r="E51" s="28">
        <f>=(C51-C54)/C54</f>
      </c>
    </row>
    <row r="52" spans="1:5">
      <c r="A52" t="s" s="9">
        <v>545</v>
      </c>
      <c r="B52" t="s" s="9">
        <v>11</v>
      </c>
      <c r="C52" s="13">
        <f>=(C6-0.5*C11)/C35*LN(C7/(C6-C11))</f>
      </c>
      <c r="D52" s="16"/>
      <c r="E52" t="s" s="9">
        <v>546</v>
      </c>
    </row>
    <row r="53" spans="1:5">
      <c r="A53" t="s" s="9">
        <v>547</v>
      </c>
      <c r="B53" t="s" s="9">
        <v>11</v>
      </c>
      <c r="C53" s="13">
        <f>=(C52-1052)/1.063</f>
      </c>
      <c r="D53" s="16"/>
      <c r="E53" s="28">
        <f>=(C53-C54)/C54</f>
      </c>
    </row>
    <row r="54" spans="1:5">
      <c r="A54" t="s" s="9">
        <v>548</v>
      </c>
      <c r="B54" t="s" s="9">
        <v>11</v>
      </c>
      <c r="C54" t="n" s="12">
        <v>3678.072</v>
      </c>
      <c r="D54" s="16"/>
      <c r="E54" t="s" s="9">
        <v>549</v>
      </c>
    </row>
    <row r="55" spans="1:5">
      <c r="D55"/>
    </row>
    <row r="56" spans="1:5">
      <c r="D56"/>
    </row>
    <row r="57" spans="1:5">
      <c r="A57" t="s" s="7">
        <v>550</v>
      </c>
      <c r="B57" t="s" s="7">
        <v>2</v>
      </c>
      <c r="C57" t="s" s="17">
        <v>54</v>
      </c>
      <c r="D57" s="17"/>
      <c r="E57" t="s" s="7">
        <v>551</v>
      </c>
    </row>
    <row r="58" spans="1:5">
      <c r="A58" t="s" s="9">
        <v>40</v>
      </c>
      <c r="B58" t="s" s="9">
        <v>41</v>
      </c>
      <c r="C58" t="n" s="12">
        <v>9833.0</v>
      </c>
      <c r="D58" s="16"/>
      <c r="E58" t="s" s="9">
        <v>552</v>
      </c>
    </row>
    <row r="59" spans="1:5">
      <c r="A59" t="s" s="9">
        <v>553</v>
      </c>
      <c r="B59" t="s" s="9">
        <v>11</v>
      </c>
      <c r="C59" s="13">
        <f>=C58/1000</f>
      </c>
      <c r="D59" s="16"/>
      <c r="E59" t="s" s="9">
        <v>554</v>
      </c>
    </row>
    <row r="60" spans="1:5">
      <c r="A60" t="s" s="9">
        <v>555</v>
      </c>
      <c r="B60" t="s" s="9">
        <v>450</v>
      </c>
      <c r="C60" t="n" s="12">
        <v>5.0</v>
      </c>
      <c r="D60" s="16"/>
      <c r="E60" t="s" s="9">
        <v>556</v>
      </c>
    </row>
    <row r="61" spans="1:5">
      <c r="A61" t="s" s="9">
        <v>557</v>
      </c>
      <c r="B61" t="s" s="9">
        <v>450</v>
      </c>
      <c r="C61" s="13">
        <f>=0.0035*C59*(1-0.03*C60)/(1-0.004*C59)</f>
      </c>
      <c r="D61" s="16"/>
      <c r="E61" t="s" s="9">
        <v>558</v>
      </c>
    </row>
    <row r="62" spans="1:5">
      <c r="A62" t="s" s="9">
        <v>223</v>
      </c>
      <c r="B62" t="s" s="9">
        <v>450</v>
      </c>
      <c r="C62" s="13">
        <f>=0.002*C59*(1-0.023*C59)*(1-0.03*C60)</f>
      </c>
      <c r="D62" s="16"/>
      <c r="E62" t="s" s="9">
        <v>559</v>
      </c>
    </row>
    <row r="63" spans="1:5">
      <c r="A63" t="s" s="9">
        <v>560</v>
      </c>
      <c r="B63" t="s" s="9">
        <v>450</v>
      </c>
      <c r="C63" s="13">
        <f>=C33*C35*C34/C7</f>
      </c>
      <c r="D63" s="16"/>
      <c r="E63" t="s" s="9">
        <v>561</v>
      </c>
    </row>
    <row r="64" spans="1:5">
      <c r="A64" t="s" s="9">
        <v>562</v>
      </c>
      <c r="B64" t="s" s="9">
        <v>450</v>
      </c>
      <c r="C64" s="13">
        <f>=0.006</f>
      </c>
      <c r="D64" s="16"/>
      <c r="E64" t="s" s="9">
        <v>563</v>
      </c>
    </row>
    <row r="65" spans="1:5">
      <c r="A65" t="s" s="9">
        <v>564</v>
      </c>
      <c r="B65" t="s" s="9">
        <v>450</v>
      </c>
      <c r="C65" s="13">
        <f>=C61+C62+C63+C64</f>
      </c>
      <c r="D65" s="16"/>
      <c r="E65" t="s" s="9">
        <v>565</v>
      </c>
    </row>
    <row r="66" spans="1:5">
      <c r="A66" t="s" s="9">
        <v>566</v>
      </c>
      <c r="B66" t="s" s="9">
        <v>14</v>
      </c>
      <c r="C66" s="13">
        <f>=C65*C6</f>
      </c>
      <c r="D66" s="16"/>
      <c r="E66" t="s" s="9">
        <v>567</v>
      </c>
    </row>
    <row r="67" spans="1:5">
      <c r="A67" t="s" s="9">
        <v>568</v>
      </c>
      <c r="B67" t="s" s="9">
        <v>14</v>
      </c>
      <c r="C67" s="13">
        <f>=C19-C66</f>
      </c>
      <c r="D67" s="16"/>
      <c r="E67" t="s" s="9">
        <v>569</v>
      </c>
    </row>
    <row r="68" spans="1:5">
      <c r="A68" t="s" s="9">
        <v>570</v>
      </c>
      <c r="B68" t="s" s="9">
        <v>11</v>
      </c>
      <c r="C68" s="13">
        <f>=C67/C35</f>
      </c>
      <c r="D68" s="16"/>
      <c r="E68" s="28">
        <f>=(C68-C12)/C12</f>
      </c>
    </row>
    <row r="69" spans="1:5">
      <c r="A69" t="s" s="9">
        <v>571</v>
      </c>
      <c r="B69" t="s" s="9">
        <v>14</v>
      </c>
      <c r="C69" s="13">
        <f>=C11-C66</f>
      </c>
      <c r="D69" s="16"/>
      <c r="E69" t="s" s="9">
        <v>572</v>
      </c>
    </row>
    <row r="70" spans="1:5">
      <c r="A70" t="s" s="9">
        <v>573</v>
      </c>
      <c r="B70" t="s" s="9">
        <v>11</v>
      </c>
      <c r="C70" s="13">
        <f>=C69/C35</f>
      </c>
      <c r="D70" s="16"/>
      <c r="E70" s="28">
        <f>=(C70-C14)/C14</f>
      </c>
    </row>
    <row r="71" spans="1:5">
      <c r="D71"/>
    </row>
    <row r="72" spans="1:5">
      <c r="D72"/>
    </row>
    <row r="73" spans="1:5">
      <c r="A73" t="s" s="8">
        <v>574</v>
      </c>
      <c r="B73" t="s" s="8">
        <v>575</v>
      </c>
      <c r="C73" s="8"/>
      <c r="D73" s="8"/>
      <c r="E73" s="8"/>
    </row>
    <row r="74" spans="1:5">
      <c r="D74"/>
    </row>
    <row r="75" spans="1:5">
      <c r="D75"/>
    </row>
    <row r="76" spans="1:5">
      <c r="D76"/>
    </row>
    <row r="77" spans="1:5">
      <c r="D77"/>
    </row>
    <row r="78" spans="1:5">
      <c r="D78"/>
    </row>
    <row r="79" spans="1:5">
      <c r="D79"/>
    </row>
    <row r="80" spans="1:5">
      <c r="D80"/>
    </row>
  </sheetData>
  <mergeCells count="2">
    <mergeCell ref="A1:E1"/>
    <mergeCell ref="B73:E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1EC6-16C8-4D29-9E5C-D9BF8906051C}">
  <dimension ref="A1:G17"/>
  <sheetViews>
    <sheetView tabSelected="0" workbookViewId="0"/>
  </sheetViews>
  <sheetFormatPr baseColWidth="10" defaultRowHeight="16" x14ac:dyDescent="0.2"/>
  <cols>
    <col max="4" min="4" width="16.7109375" customWidth="1"/>
    <col max="1" min="1" width="20.7109375" customWidth="1"/>
    <col max="5" min="5" width="42.7109375" customWidth="1"/>
    <col max="2" min="2" width="18.7109375" customWidth="1"/>
    <col max="6" min="6" width="4.7109375" customWidth="1"/>
    <col max="7" min="7" width="18.7109375" customWidth="1"/>
    <col max="3" min="3" width="18.7109375" customWidth="1"/>
  </cols>
  <sheetData>
    <row r="1" spans="1:7" ht="28.2109375" customHeight="1">
      <c r="A1" t="s" s="3">
        <v>576</v>
      </c>
      <c r="B1"/>
      <c r="C1"/>
      <c r="D1"/>
      <c r="E1"/>
      <c r="F1"/>
      <c r="G1"/>
    </row>
    <row r="3" spans="1:7">
      <c r="A3" t="s" s="7">
        <v>577</v>
      </c>
      <c r="B3" t="s" s="7">
        <v>578</v>
      </c>
      <c r="C3" t="s" s="7">
        <v>579</v>
      </c>
      <c r="D3" t="s" s="7">
        <v>580</v>
      </c>
      <c r="E3" t="s" s="7">
        <v>19</v>
      </c>
      <c r="F3" s="7"/>
      <c r="G3" t="s" s="7">
        <v>581</v>
      </c>
    </row>
    <row r="4" spans="1:7">
      <c r="A4" t="s" s="9">
        <v>582</v>
      </c>
      <c r="B4" t="n" s="9">
        <v>740.8000000000001</v>
      </c>
      <c r="C4" t="n" s="9">
        <v>9979.032140000001</v>
      </c>
      <c r="D4" t="s" s="9">
        <v>583</v>
      </c>
      <c r="E4" t="s" s="9">
        <v>584</v>
      </c>
    </row>
    <row r="5" spans="1:7">
      <c r="A5" t="s" s="9">
        <v>585</v>
      </c>
      <c r="B5" t="n" s="9">
        <v>2407.6</v>
      </c>
      <c r="C5" t="n" s="9">
        <v>9979.032140000001</v>
      </c>
      <c r="D5" t="s" s="9">
        <v>583</v>
      </c>
      <c r="E5" t="s" s="9">
        <v>586</v>
      </c>
    </row>
    <row r="6" spans="1:7">
      <c r="A6" t="s" s="9">
        <v>587</v>
      </c>
      <c r="B6" t="n" s="9">
        <v>3678.072</v>
      </c>
      <c r="C6" t="n" s="9">
        <v>7801.788764000001</v>
      </c>
      <c r="D6" t="s" s="9">
        <v>583</v>
      </c>
      <c r="E6" t="s" s="9">
        <v>588</v>
      </c>
    </row>
    <row r="7" spans="1:7">
      <c r="A7" t="s" s="9">
        <v>589</v>
      </c>
      <c r="B7" t="n" s="9">
        <v>4722.6</v>
      </c>
      <c r="C7" t="n" s="9">
        <v>0.0</v>
      </c>
      <c r="D7" t="s" s="9">
        <v>583</v>
      </c>
      <c r="E7" t="s" s="9">
        <v>590</v>
      </c>
    </row>
    <row r="9" spans="1:7">
      <c r="A9" t="s" s="9">
        <v>591</v>
      </c>
      <c r="B9" t="n" s="9">
        <v>2853.097135583877</v>
      </c>
      <c r="C9" t="n" s="9">
        <v>9979.032140000001</v>
      </c>
      <c r="D9" t="s" s="9">
        <v>592</v>
      </c>
      <c r="E9" t="s" s="9">
        <v>593</v>
      </c>
    </row>
    <row r="10" spans="1:7">
      <c r="A10" t="s" s="9">
        <v>594</v>
      </c>
      <c r="B10" t="n" s="9">
        <v>2745.0798878409237</v>
      </c>
      <c r="C10" t="n" s="9">
        <v>9979.032140000001</v>
      </c>
      <c r="D10" t="s" s="9">
        <v>592</v>
      </c>
      <c r="E10" t="s" s="9">
        <v>595</v>
      </c>
    </row>
    <row r="11" spans="1:7">
      <c r="A11" t="s" s="9">
        <v>596</v>
      </c>
      <c r="B11" t="n" s="9">
        <v>2643.35641819061</v>
      </c>
      <c r="C11" t="n" s="9">
        <v>9979.032140000001</v>
      </c>
      <c r="D11" t="s" s="9">
        <v>592</v>
      </c>
      <c r="E11" t="s" s="9">
        <v>597</v>
      </c>
    </row>
    <row r="12" spans="1:7">
      <c r="A12" t="s" s="9">
        <v>598</v>
      </c>
      <c r="B12" t="n" s="9">
        <v>3997.667609551606</v>
      </c>
      <c r="C12" t="n" s="9">
        <v>7801.788764000001</v>
      </c>
      <c r="D12" t="s" s="9">
        <v>592</v>
      </c>
      <c r="E12" t="s" s="9">
        <v>599</v>
      </c>
    </row>
    <row r="13" spans="1:7">
      <c r="A13" t="s" s="9">
        <v>600</v>
      </c>
      <c r="B13" t="n" s="9">
        <v>3889.326540006089</v>
      </c>
      <c r="C13" t="n" s="9">
        <v>7801.788764000001</v>
      </c>
      <c r="D13" t="s" s="9">
        <v>592</v>
      </c>
      <c r="E13" t="s" s="9">
        <v>601</v>
      </c>
    </row>
    <row r="14" spans="1:7">
      <c r="A14" t="s" s="9">
        <v>602</v>
      </c>
      <c r="B14" t="n" s="9">
        <v>3807.131074331993</v>
      </c>
      <c r="C14" t="n" s="9">
        <v>7801.788764000001</v>
      </c>
      <c r="D14" t="s" s="9">
        <v>592</v>
      </c>
      <c r="E14" t="s" s="9">
        <v>603</v>
      </c>
    </row>
    <row r="16" spans="1:7">
      <c r="A16" t="s" s="9">
        <v>604</v>
      </c>
      <c r="B16" t="n" s="9">
        <v>2097.995213712308</v>
      </c>
      <c r="C16" t="n" s="9">
        <v>9979.032140000001</v>
      </c>
      <c r="D16" t="s" s="9">
        <v>605</v>
      </c>
      <c r="E16" t="s" s="9">
        <v>606</v>
      </c>
    </row>
    <row r="17" spans="1:7">
      <c r="A17" t="s" s="9">
        <v>607</v>
      </c>
      <c r="B17" t="n" s="9">
        <v>3314.32940496388</v>
      </c>
      <c r="C17" t="n" s="9">
        <v>7801.788764000001</v>
      </c>
      <c r="D17" t="s" s="9">
        <v>605</v>
      </c>
      <c r="E17" t="s" s="9">
        <v>606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1D68-5B4F-4BE7-AF06-040D49391D40}">
  <dimension ref="A1:F90"/>
  <sheetViews>
    <sheetView tabSelected="0" workbookViewId="0"/>
  </sheetViews>
  <sheetFormatPr baseColWidth="10" defaultRowHeight="16" x14ac:dyDescent="0.2"/>
  <cols>
    <col max="4" min="4" width="0.7109375" customWidth="1"/>
    <col max="1" min="1" width="52.7109375" customWidth="1"/>
    <col max="5" min="5" width="40.7109375" customWidth="1"/>
    <col max="2" min="2" width="12.7109375" customWidth="1"/>
    <col max="6" min="6" width="42.7109375" customWidth="1"/>
    <col max="3" min="3" width="23.7109375" customWidth="1"/>
  </cols>
  <sheetData>
    <row r="1" spans="1:6" ht="28.2109375" customHeight="1">
      <c r="A1" t="s" s="3">
        <v>608</v>
      </c>
      <c r="B1"/>
      <c r="C1"/>
      <c r="D1"/>
      <c r="E1"/>
      <c r="F1"/>
    </row>
    <row r="3" spans="1:6">
      <c r="A3" t="s" s="7">
        <v>478</v>
      </c>
      <c r="B3" t="s" s="7">
        <v>2</v>
      </c>
      <c r="C3" t="s" s="7">
        <v>520</v>
      </c>
      <c r="D3" s="7"/>
      <c r="E3" t="s" s="7">
        <v>71</v>
      </c>
      <c r="F3" t="s" s="7">
        <v>521</v>
      </c>
    </row>
    <row r="4" spans="1:6">
      <c r="D4"/>
    </row>
    <row r="5" spans="1:6">
      <c r="D5"/>
    </row>
    <row r="6" spans="1:6">
      <c r="A6" t="s" s="9">
        <v>13</v>
      </c>
      <c r="B6" t="s" s="9">
        <v>14</v>
      </c>
      <c r="C6" t="n" s="30">
        <v>38329</v>
      </c>
      <c r="D6" s="31"/>
      <c r="E6" t="s" s="9">
        <v>609</v>
      </c>
      <c r="F6" t="s" s="9">
        <v>610</v>
      </c>
    </row>
    <row r="7" spans="1:6">
      <c r="A7" t="s" s="9">
        <v>611</v>
      </c>
      <c r="B7" t="s" s="9">
        <v>446</v>
      </c>
      <c r="C7" t="n" s="30">
        <v>71.07</v>
      </c>
      <c r="D7" s="31"/>
      <c r="E7" t="s" s="9">
        <v>28</v>
      </c>
      <c r="F7" t="s" s="9">
        <v>612</v>
      </c>
    </row>
    <row r="8" spans="1:6">
      <c r="A8" t="s" s="9">
        <v>613</v>
      </c>
      <c r="B8" t="s" s="9">
        <v>41</v>
      </c>
      <c r="C8" t="n" s="30">
        <v>24.85</v>
      </c>
      <c r="D8" s="31"/>
      <c r="E8" t="s" s="9">
        <v>614</v>
      </c>
      <c r="F8" t="s" s="9">
        <v>615</v>
      </c>
    </row>
    <row r="9" spans="1:6">
      <c r="A9" t="s" s="9">
        <v>616</v>
      </c>
      <c r="B9" t="s" s="9">
        <v>450</v>
      </c>
      <c r="C9" t="n" s="30">
        <v>8.688933445898412</v>
      </c>
      <c r="D9" s="31"/>
      <c r="E9" t="s" s="9">
        <v>28</v>
      </c>
      <c r="F9" t="s" s="9">
        <v>612</v>
      </c>
    </row>
    <row r="10" spans="1:6">
      <c r="A10" t="s" s="9">
        <v>617</v>
      </c>
      <c r="B10" t="s" s="9">
        <v>41</v>
      </c>
      <c r="C10" s="32">
        <f>=C8^2/C7</f>
      </c>
      <c r="D10" s="31"/>
      <c r="E10" t="s" s="9">
        <v>28</v>
      </c>
      <c r="F10" t="s" s="9">
        <v>618</v>
      </c>
    </row>
    <row r="11" spans="1:6">
      <c r="A11" t="s" s="9">
        <v>619</v>
      </c>
      <c r="B11" t="s" s="9">
        <v>450</v>
      </c>
      <c r="C11" t="n" s="30">
        <v>15.15</v>
      </c>
      <c r="D11" s="31"/>
      <c r="E11" t="s" s="9">
        <v>620</v>
      </c>
      <c r="F11" t="s" s="9">
        <v>621</v>
      </c>
    </row>
    <row r="12" spans="1:6">
      <c r="A12" t="s" s="9">
        <v>622</v>
      </c>
      <c r="B12" t="s" s="9">
        <v>450</v>
      </c>
      <c r="C12" t="n" s="30">
        <v>0.8</v>
      </c>
      <c r="D12" s="31"/>
      <c r="E12" t="s" s="9">
        <v>623</v>
      </c>
      <c r="F12" t="s" s="9">
        <v>624</v>
      </c>
    </row>
    <row r="13" spans="1:6">
      <c r="A13" t="s" s="9">
        <v>625</v>
      </c>
      <c r="B13" t="s" s="9">
        <v>450</v>
      </c>
      <c r="C13" t="n" s="30">
        <v>292.5</v>
      </c>
      <c r="D13" s="31"/>
      <c r="E13" t="s" s="9">
        <v>626</v>
      </c>
      <c r="F13" t="s" s="9">
        <v>624</v>
      </c>
    </row>
    <row r="14" spans="1:6">
      <c r="A14" t="s" s="9">
        <v>627</v>
      </c>
      <c r="B14" t="s" s="9">
        <v>41</v>
      </c>
      <c r="C14" t="n" s="30">
        <v>9833.0</v>
      </c>
      <c r="D14" s="31"/>
      <c r="E14" t="s" s="9">
        <v>628</v>
      </c>
      <c r="F14" t="s" s="9">
        <v>629</v>
      </c>
    </row>
    <row r="15" spans="1:6">
      <c r="A15" t="s" s="9">
        <v>630</v>
      </c>
      <c r="B15" t="s" s="9">
        <v>450</v>
      </c>
      <c r="C15" t="n" s="30">
        <v>0.7</v>
      </c>
      <c r="D15" s="31"/>
      <c r="E15" t="s" s="9">
        <v>631</v>
      </c>
      <c r="F15" t="s" s="9">
        <v>632</v>
      </c>
    </row>
    <row r="16" spans="1:6">
      <c r="A16" t="s" s="9">
        <v>633</v>
      </c>
      <c r="B16" t="s" s="9">
        <v>45</v>
      </c>
      <c r="C16" s="32">
        <f>=C15*SQRT(1.4*287.05287*(288.15-0.0065*C14))*3.6</f>
      </c>
      <c r="D16" s="31"/>
      <c r="E16" t="s" s="9">
        <v>634</v>
      </c>
      <c r="F16" t="s" s="9">
        <v>635</v>
      </c>
    </row>
    <row r="17" spans="1:6">
      <c r="A17" t="s" s="9">
        <v>636</v>
      </c>
      <c r="B17" t="s" s="9">
        <v>14</v>
      </c>
      <c r="C17" s="32">
        <f>='03_Дальность'!C19</f>
      </c>
      <c r="D17" s="31"/>
      <c r="E17" t="s" s="9">
        <v>637</v>
      </c>
      <c r="F17" t="s" s="9">
        <v>638</v>
      </c>
    </row>
    <row r="18" spans="1:6">
      <c r="A18" t="s" s="9">
        <v>639</v>
      </c>
      <c r="B18" t="s" s="9">
        <v>14</v>
      </c>
      <c r="C18" s="32">
        <f>='03_Дальность'!C36</f>
      </c>
      <c r="D18" s="31"/>
      <c r="E18" t="s" s="9">
        <v>640</v>
      </c>
      <c r="F18" t="s" s="9">
        <v>638</v>
      </c>
    </row>
    <row r="19" spans="1:6">
      <c r="D19"/>
    </row>
    <row r="20" spans="1:6">
      <c r="A20" t="s" s="7">
        <v>315</v>
      </c>
      <c r="B20" t="s" s="7">
        <v>2</v>
      </c>
      <c r="C20" t="s" s="33">
        <v>54</v>
      </c>
      <c r="D20" s="33"/>
      <c r="E20" t="s" s="7">
        <v>641</v>
      </c>
      <c r="F20" t="s" s="7">
        <v>642</v>
      </c>
    </row>
    <row r="21" spans="1:6">
      <c r="A21" t="s" s="9">
        <v>643</v>
      </c>
      <c r="B21" t="s" s="9">
        <v>446</v>
      </c>
      <c r="C21" s="32">
        <f>=0.176*C6^0.753</f>
      </c>
      <c r="D21" s="31"/>
      <c r="E21" t="s" s="9">
        <v>644</v>
      </c>
      <c r="F21" t="s" s="9">
        <v>645</v>
      </c>
    </row>
    <row r="22" spans="1:6">
      <c r="A22" t="s" s="9">
        <v>646</v>
      </c>
      <c r="B22" t="s" s="9">
        <v>450</v>
      </c>
      <c r="C22" s="32">
        <f>=C21/C7</f>
      </c>
      <c r="D22" s="31"/>
      <c r="E22" t="s" s="9">
        <v>647</v>
      </c>
      <c r="F22" s="9"/>
    </row>
    <row r="23" spans="1:6">
      <c r="A23" t="s" s="9">
        <v>648</v>
      </c>
      <c r="B23" t="s" s="9">
        <v>450</v>
      </c>
      <c r="C23" s="32">
        <f>=C11*SQRT(C9/C22)</f>
      </c>
      <c r="D23" s="31"/>
      <c r="E23" t="s" s="9">
        <v>649</v>
      </c>
      <c r="F23" t="s" s="9">
        <v>650</v>
      </c>
    </row>
    <row r="24" spans="1:6">
      <c r="A24" t="s" s="9">
        <v>651</v>
      </c>
      <c r="B24" t="s" s="9">
        <v>450</v>
      </c>
      <c r="C24" s="32">
        <f>=0.565*C21^0.0736</f>
      </c>
      <c r="D24" s="31"/>
      <c r="E24" t="s" s="9">
        <v>652</v>
      </c>
      <c r="F24" s="9"/>
    </row>
    <row r="25" spans="1:6">
      <c r="A25" t="s" s="9">
        <v>653</v>
      </c>
      <c r="B25" t="s" s="9">
        <v>450</v>
      </c>
      <c r="C25" s="32">
        <f>=C13*C24</f>
      </c>
      <c r="D25" s="31"/>
      <c r="E25" t="s" s="9">
        <v>654</v>
      </c>
      <c r="F25" t="s" s="9">
        <v>655</v>
      </c>
    </row>
    <row r="26" spans="1:6">
      <c r="A26" t="s" s="9">
        <v>656</v>
      </c>
      <c r="B26" t="s" s="9">
        <v>450</v>
      </c>
      <c r="C26" s="32">
        <f>=0.886*SQRT(C25)*C8/SQRT(C21)</f>
      </c>
      <c r="D26" s="31"/>
      <c r="E26" t="s" s="9">
        <v>657</v>
      </c>
      <c r="F26" t="s" s="9">
        <v>658</v>
      </c>
    </row>
    <row r="27" spans="1:6">
      <c r="A27" t="s" s="9">
        <v>659</v>
      </c>
      <c r="B27" t="s" s="9">
        <v>660</v>
      </c>
      <c r="C27" s="32">
        <f>=ABS(C26-C23)/((C23+C26)/2)*100</f>
      </c>
      <c r="D27" s="31"/>
      <c r="E27" t="s" s="9">
        <v>661</v>
      </c>
      <c r="F27" t="s" s="9">
        <v>662</v>
      </c>
    </row>
    <row r="28" spans="1:6">
      <c r="A28" t="s" s="9">
        <v>663</v>
      </c>
      <c r="B28" t="s" s="9">
        <v>450</v>
      </c>
      <c r="C28" s="32">
        <f>=C26</f>
      </c>
      <c r="D28" s="31"/>
      <c r="E28" t="s" s="9">
        <v>664</v>
      </c>
      <c r="F28" t="s" s="9">
        <v>665</v>
      </c>
    </row>
    <row r="29" spans="1:6">
      <c r="A29" t="s" s="9">
        <v>666</v>
      </c>
      <c r="B29" t="s" s="9">
        <v>450</v>
      </c>
      <c r="C29" s="32">
        <f>=PI()*C9*C12/(2*C28)</f>
      </c>
      <c r="D29" s="31"/>
      <c r="E29" t="s" s="9">
        <v>667</v>
      </c>
      <c r="F29" t="s" s="9">
        <v>668</v>
      </c>
    </row>
    <row r="30" spans="1:6">
      <c r="D30"/>
    </row>
    <row r="31" spans="1:6">
      <c r="D31"/>
    </row>
    <row r="32" spans="1:6">
      <c r="A32" t="s" s="7">
        <v>669</v>
      </c>
      <c r="B32" t="s" s="7">
        <v>2</v>
      </c>
      <c r="C32" t="s" s="33">
        <v>54</v>
      </c>
      <c r="D32" s="33"/>
      <c r="E32" t="s" s="7">
        <v>641</v>
      </c>
      <c r="F32" t="s" s="7">
        <v>642</v>
      </c>
    </row>
    <row r="33" spans="1:6">
      <c r="A33" t="s" s="9">
        <v>670</v>
      </c>
      <c r="B33" t="s" s="9">
        <v>671</v>
      </c>
      <c r="C33" s="32">
        <f>=288.15-0.0065*C14</f>
      </c>
      <c r="D33" s="31"/>
      <c r="E33" t="s" s="9">
        <v>672</v>
      </c>
      <c r="F33" s="9"/>
    </row>
    <row r="34" spans="1:6">
      <c r="A34" t="s" s="9">
        <v>673</v>
      </c>
      <c r="B34" t="s" s="9">
        <v>674</v>
      </c>
      <c r="C34" s="32">
        <f>=101325*(C33/288.15)^(9.80665/(287.05287*0.0065))</f>
      </c>
      <c r="D34" s="31"/>
      <c r="E34" t="s" s="9">
        <v>360</v>
      </c>
      <c r="F34" s="9"/>
    </row>
    <row r="35" spans="1:6">
      <c r="A35" t="s" s="9">
        <v>675</v>
      </c>
      <c r="B35" t="s" s="9">
        <v>676</v>
      </c>
      <c r="C35" s="32">
        <f>=C34/(287.05287*C33)</f>
      </c>
      <c r="D35" s="31"/>
      <c r="E35" t="s" s="9">
        <v>360</v>
      </c>
      <c r="F35" s="9"/>
    </row>
    <row r="36" spans="1:6">
      <c r="A36" t="s" s="9">
        <v>677</v>
      </c>
      <c r="B36" t="s" s="9">
        <v>450</v>
      </c>
      <c r="C36" s="32">
        <f>=C35/1.225</f>
      </c>
      <c r="D36" s="31"/>
      <c r="E36" t="s" s="9">
        <v>678</v>
      </c>
      <c r="F36" t="s" s="9">
        <v>679</v>
      </c>
    </row>
    <row r="37" spans="1:6">
      <c r="A37" t="s" s="9">
        <v>680</v>
      </c>
      <c r="B37" t="s" s="9">
        <v>674</v>
      </c>
      <c r="C37" s="32">
        <f>=0.5*C35*(C16/3.6)^2</f>
      </c>
      <c r="D37" s="31"/>
      <c r="E37" t="s" s="9">
        <v>681</v>
      </c>
      <c r="F37" s="9"/>
    </row>
    <row r="38" spans="1:6">
      <c r="A38" t="s" s="9">
        <v>682</v>
      </c>
      <c r="B38" t="s" s="9">
        <v>14</v>
      </c>
      <c r="C38" s="32">
        <f>=C6-0.5*(C17-C18)</f>
      </c>
      <c r="D38" s="31"/>
      <c r="E38" t="s" s="9">
        <v>683</v>
      </c>
      <c r="F38" t="s" s="9">
        <v>684</v>
      </c>
    </row>
    <row r="39" spans="1:6">
      <c r="A39" t="s" s="9">
        <v>685</v>
      </c>
      <c r="B39" t="s" s="9">
        <v>450</v>
      </c>
      <c r="C39" s="32">
        <f>=2*9.8*C38/(C35*(C16/3.6)^2*C7)</f>
      </c>
      <c r="D39" s="31"/>
      <c r="E39" t="s" s="9">
        <v>686</v>
      </c>
      <c r="F39" t="s" s="9">
        <v>687</v>
      </c>
    </row>
    <row r="40" spans="1:6">
      <c r="A40" t="s" s="9">
        <v>688</v>
      </c>
      <c r="B40" t="s" s="9">
        <v>450</v>
      </c>
      <c r="C40" s="32">
        <f>=C39/C29</f>
      </c>
      <c r="D40" s="31"/>
      <c r="E40" t="s" s="9">
        <v>689</v>
      </c>
      <c r="F40" s="9"/>
    </row>
    <row r="41" spans="1:6">
      <c r="A41" t="s" s="9">
        <v>690</v>
      </c>
      <c r="B41" t="s" s="9">
        <v>450</v>
      </c>
      <c r="C41" s="32">
        <f>=C28*2*C40/(1+C40^2)</f>
      </c>
      <c r="D41" s="31"/>
      <c r="E41" t="s" s="9">
        <v>691</v>
      </c>
      <c r="F41" t="s" s="9">
        <v>692</v>
      </c>
    </row>
    <row r="42" spans="1:6">
      <c r="D42"/>
    </row>
    <row r="43" spans="1:6">
      <c r="D43"/>
    </row>
    <row r="44" spans="1:6">
      <c r="A44" t="s" s="7">
        <v>693</v>
      </c>
      <c r="B44" t="s" s="7">
        <v>2</v>
      </c>
      <c r="C44" t="s" s="33">
        <v>54</v>
      </c>
      <c r="D44" s="33"/>
      <c r="E44" t="s" s="7">
        <v>641</v>
      </c>
      <c r="F44" t="s" s="7">
        <v>642</v>
      </c>
    </row>
    <row r="45" spans="1:6">
      <c r="A45" t="s" s="9">
        <v>694</v>
      </c>
      <c r="B45" t="s" s="9">
        <v>450</v>
      </c>
      <c r="C45" s="32">
        <f>=0.71*C29</f>
      </c>
      <c r="D45" s="31"/>
      <c r="E45" t="s" s="9">
        <v>695</v>
      </c>
      <c r="F45" t="s" s="9">
        <v>696</v>
      </c>
    </row>
    <row r="46" spans="1:6">
      <c r="A46" t="s" s="9">
        <v>697</v>
      </c>
      <c r="B46" t="s" s="9">
        <v>450</v>
      </c>
      <c r="C46" s="32">
        <f>=0.8*C29</f>
      </c>
      <c r="D46" s="31"/>
      <c r="E46" t="s" s="9">
        <v>698</v>
      </c>
      <c r="F46" t="s" s="9">
        <v>699</v>
      </c>
    </row>
    <row r="47" spans="1:6">
      <c r="A47" t="s" s="9">
        <v>700</v>
      </c>
      <c r="B47" t="s" s="9">
        <v>450</v>
      </c>
      <c r="C47" s="32">
        <f>=0.85*C28</f>
      </c>
      <c r="D47" s="31"/>
      <c r="E47" t="s" s="9">
        <v>701</v>
      </c>
      <c r="F47" t="s" s="9">
        <v>702</v>
      </c>
    </row>
    <row r="48" spans="1:6">
      <c r="A48" t="s" s="9">
        <v>703</v>
      </c>
      <c r="B48" t="s" s="9">
        <v>450</v>
      </c>
      <c r="C48" s="32">
        <f>=0.9*C28</f>
      </c>
      <c r="D48" s="31"/>
      <c r="E48" t="s" s="9">
        <v>701</v>
      </c>
      <c r="F48" t="s" s="9">
        <v>702</v>
      </c>
    </row>
    <row r="49" spans="1:6">
      <c r="A49" t="s" s="9">
        <v>704</v>
      </c>
      <c r="B49" t="s" s="9">
        <v>450</v>
      </c>
      <c r="C49" s="32">
        <f>=0.875*C28</f>
      </c>
      <c r="D49" s="31"/>
      <c r="E49" t="s" s="9">
        <v>705</v>
      </c>
      <c r="F49" t="s" s="9">
        <v>699</v>
      </c>
    </row>
    <row r="50" spans="1:6">
      <c r="A50" t="s" s="9">
        <v>706</v>
      </c>
      <c r="B50" t="s" s="9">
        <v>450</v>
      </c>
      <c r="C50" s="32">
        <f>=0.87*C28</f>
      </c>
      <c r="D50" s="31"/>
      <c r="E50" t="s" s="9">
        <v>707</v>
      </c>
      <c r="F50" t="s" s="9">
        <v>708</v>
      </c>
    </row>
    <row r="51" spans="1:6">
      <c r="A51" t="s" s="9">
        <v>709</v>
      </c>
      <c r="B51" t="s" s="9">
        <v>450</v>
      </c>
      <c r="C51" s="32">
        <f>=0.866*C28</f>
      </c>
      <c r="D51" s="31"/>
      <c r="E51" t="s" s="9">
        <v>710</v>
      </c>
      <c r="F51" t="s" s="9">
        <v>711</v>
      </c>
    </row>
    <row r="52" spans="1:6">
      <c r="D52"/>
    </row>
    <row r="53" spans="1:6">
      <c r="D53"/>
    </row>
    <row r="54" spans="1:6">
      <c r="A54" t="s" s="8">
        <v>712</v>
      </c>
      <c r="B54" t="s" s="8">
        <v>713</v>
      </c>
      <c r="C54" s="8"/>
      <c r="D54" s="8"/>
      <c r="E54" s="8"/>
      <c r="F54" s="8"/>
    </row>
    <row r="55" spans="1:6">
      <c r="D55"/>
    </row>
    <row r="56" spans="1:6">
      <c r="D56"/>
    </row>
    <row r="57" spans="1:6">
      <c r="D57"/>
    </row>
    <row r="58" spans="1:6">
      <c r="D58"/>
    </row>
    <row r="59" spans="1:6">
      <c r="D59"/>
    </row>
    <row r="60" spans="1:6">
      <c r="D60"/>
    </row>
    <row r="61" spans="1:6">
      <c r="D61"/>
    </row>
    <row r="62" spans="1:6">
      <c r="D62"/>
    </row>
    <row r="63" spans="1:6">
      <c r="D63"/>
    </row>
    <row r="64" spans="1:6">
      <c r="D64"/>
    </row>
    <row r="65" spans="1:6">
      <c r="D65"/>
    </row>
    <row r="66" spans="1:6">
      <c r="D66"/>
    </row>
    <row r="67" spans="1:6">
      <c r="D67"/>
    </row>
    <row r="68" spans="1:6">
      <c r="D68"/>
    </row>
    <row r="69" spans="1:6">
      <c r="D69"/>
    </row>
    <row r="70" spans="1:6">
      <c r="D70"/>
    </row>
    <row r="71" spans="1:6">
      <c r="D71"/>
    </row>
    <row r="72" spans="1:6">
      <c r="D72"/>
    </row>
    <row r="73" spans="1:6">
      <c r="D73"/>
    </row>
    <row r="74" spans="1:6">
      <c r="D74"/>
    </row>
    <row r="75" spans="1:6">
      <c r="D75"/>
    </row>
    <row r="76" spans="1:6">
      <c r="D76"/>
    </row>
    <row r="77" spans="1:6">
      <c r="D77"/>
    </row>
    <row r="78" spans="1:6">
      <c r="D78"/>
    </row>
    <row r="79" spans="1:6">
      <c r="D79"/>
    </row>
    <row r="80" spans="1:6">
      <c r="D80"/>
    </row>
    <row r="81" spans="1:6">
      <c r="D81"/>
    </row>
    <row r="82" spans="1:6">
      <c r="D82"/>
    </row>
    <row r="83" spans="1:6">
      <c r="D83"/>
    </row>
    <row r="84" spans="1:6">
      <c r="D84"/>
    </row>
    <row r="85" spans="1:6">
      <c r="D85"/>
    </row>
    <row r="86" spans="1:6">
      <c r="D86"/>
    </row>
    <row r="87" spans="1:6">
      <c r="D87"/>
    </row>
    <row r="88" spans="1:6">
      <c r="D88"/>
    </row>
    <row r="89" spans="1:6">
      <c r="D89"/>
    </row>
    <row r="90" spans="1:6">
      <c r="D90"/>
    </row>
  </sheetData>
  <mergeCells count="2">
    <mergeCell ref="A1:F1"/>
    <mergeCell ref="B54:F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10AE-90B7-428A-87DF-DDC7CA5F52C6}">
  <dimension ref="A1:F100"/>
  <sheetViews>
    <sheetView tabSelected="0" workbookViewId="0"/>
  </sheetViews>
  <sheetFormatPr baseColWidth="10" defaultRowHeight="16" x14ac:dyDescent="0.2"/>
  <cols>
    <col max="4" min="4" width="0.7109375" customWidth="1"/>
    <col max="1" min="1" width="55.7109375" customWidth="1"/>
    <col max="5" min="5" width="38.7109375" customWidth="1"/>
    <col max="2" min="2" width="14.7109375" customWidth="1"/>
    <col max="6" min="6" width="46.7109375" customWidth="1"/>
    <col max="3" min="3" width="25.7109375" customWidth="1"/>
  </cols>
  <sheetData>
    <row r="1" spans="1:6" ht="28.2109375" customHeight="1">
      <c r="A1" t="s" s="3">
        <v>714</v>
      </c>
      <c r="B1"/>
      <c r="C1"/>
      <c r="D1"/>
      <c r="E1"/>
      <c r="F1"/>
    </row>
    <row r="3" spans="1:6">
      <c r="A3" t="s" s="7">
        <v>478</v>
      </c>
      <c r="B3" t="s" s="7">
        <v>2</v>
      </c>
      <c r="C3" t="s" s="7">
        <v>520</v>
      </c>
      <c r="D3" s="7"/>
      <c r="E3" t="s" s="7">
        <v>71</v>
      </c>
      <c r="F3" t="s" s="7">
        <v>715</v>
      </c>
    </row>
    <row r="4" spans="1:6">
      <c r="D4"/>
    </row>
    <row r="5" spans="1:6">
      <c r="D5"/>
    </row>
    <row r="6" spans="1:6">
      <c r="A6" t="s" s="9">
        <v>483</v>
      </c>
      <c r="B6" t="s" s="9">
        <v>14</v>
      </c>
      <c r="C6" s="34">
        <f>='01_ТТТ'!D4</f>
      </c>
      <c r="D6" s="35"/>
      <c r="E6" t="s" s="9">
        <v>716</v>
      </c>
      <c r="F6" t="s" s="9">
        <v>717</v>
      </c>
    </row>
    <row r="7" spans="1:6">
      <c r="A7" t="s" s="9">
        <v>718</v>
      </c>
      <c r="B7" t="s" s="9">
        <v>14</v>
      </c>
      <c r="C7" s="34">
        <f>='01_ТТТ'!D6</f>
      </c>
      <c r="D7" s="35"/>
      <c r="E7" t="s" s="9">
        <v>719</v>
      </c>
      <c r="F7" t="s" s="9">
        <v>33</v>
      </c>
    </row>
    <row r="8" spans="1:6">
      <c r="A8" t="s" s="9">
        <v>627</v>
      </c>
      <c r="B8" t="s" s="9">
        <v>41</v>
      </c>
      <c r="C8" s="34">
        <f>='05_Аэродинамика'!C14</f>
      </c>
      <c r="D8" s="35"/>
      <c r="E8" t="s" s="9">
        <v>720</v>
      </c>
      <c r="F8" t="s" s="9">
        <v>721</v>
      </c>
    </row>
    <row r="9" spans="1:6">
      <c r="A9" t="s" s="9">
        <v>555</v>
      </c>
      <c r="B9" t="s" s="9">
        <v>450</v>
      </c>
      <c r="C9" t="n" s="36">
        <v>5.0</v>
      </c>
      <c r="D9" s="35"/>
      <c r="E9" t="s" s="9">
        <v>722</v>
      </c>
      <c r="F9" t="s" s="9">
        <v>723</v>
      </c>
    </row>
    <row r="10" spans="1:6">
      <c r="A10" t="s" s="9">
        <v>630</v>
      </c>
      <c r="B10" t="s" s="9">
        <v>450</v>
      </c>
      <c r="C10" t="n" s="36">
        <v>0.7</v>
      </c>
      <c r="D10" s="35"/>
      <c r="E10" t="s" s="9">
        <v>724</v>
      </c>
      <c r="F10" t="s" s="9">
        <v>725</v>
      </c>
    </row>
    <row r="11" spans="1:6">
      <c r="A11" t="s" s="9">
        <v>633</v>
      </c>
      <c r="B11" t="s" s="9">
        <v>45</v>
      </c>
      <c r="C11" s="34">
        <f>='05_Аэродинамика'!C16</f>
      </c>
      <c r="D11" s="35"/>
      <c r="E11" t="s" s="9">
        <v>726</v>
      </c>
      <c r="F11" t="s" s="9">
        <v>727</v>
      </c>
    </row>
    <row r="12" spans="1:6">
      <c r="A12" t="s" s="9">
        <v>728</v>
      </c>
      <c r="B12" t="s" s="9">
        <v>45</v>
      </c>
      <c r="C12" t="n" s="36">
        <v>0.0</v>
      </c>
      <c r="D12" s="35"/>
      <c r="E12" t="s" s="9">
        <v>729</v>
      </c>
      <c r="F12" t="s" s="9">
        <v>730</v>
      </c>
    </row>
    <row r="13" spans="1:6">
      <c r="A13" t="s" s="9">
        <v>731</v>
      </c>
      <c r="B13" t="s" s="9">
        <v>522</v>
      </c>
      <c r="C13" s="34">
        <f>='03_Дальность'!C33</f>
      </c>
      <c r="D13" s="35"/>
      <c r="E13" t="s" s="9">
        <v>732</v>
      </c>
      <c r="F13" t="s" s="9">
        <v>727</v>
      </c>
    </row>
    <row r="14" spans="1:6">
      <c r="A14" t="s" s="9">
        <v>733</v>
      </c>
      <c r="B14" t="s" s="9">
        <v>450</v>
      </c>
      <c r="C14" s="34">
        <f>='05_Аэродинамика'!C41</f>
      </c>
      <c r="D14" s="35"/>
      <c r="E14" t="s" s="9">
        <v>734</v>
      </c>
      <c r="F14" t="s" s="9">
        <v>735</v>
      </c>
    </row>
    <row r="15" spans="1:6">
      <c r="A15" t="s" s="9">
        <v>736</v>
      </c>
      <c r="B15" t="s" s="9">
        <v>737</v>
      </c>
      <c r="C15" t="n" s="36">
        <v>0.68</v>
      </c>
      <c r="D15" s="35"/>
      <c r="E15" t="s" s="9">
        <v>738</v>
      </c>
      <c r="F15" t="s" s="9">
        <v>739</v>
      </c>
    </row>
    <row r="16" spans="1:6">
      <c r="A16" t="s" s="9">
        <v>194</v>
      </c>
      <c r="B16" t="s" s="9">
        <v>450</v>
      </c>
      <c r="C16" t="n" s="36">
        <v>0.31</v>
      </c>
      <c r="D16" s="35"/>
      <c r="E16" t="s" s="9">
        <v>740</v>
      </c>
      <c r="F16" t="s" s="9">
        <v>741</v>
      </c>
    </row>
    <row r="17" spans="1:6">
      <c r="A17" t="s" s="9">
        <v>207</v>
      </c>
      <c r="B17" t="s" s="9">
        <v>450</v>
      </c>
      <c r="C17" t="n" s="36">
        <v>0.13</v>
      </c>
      <c r="D17" s="35"/>
      <c r="E17" t="s" s="9">
        <v>740</v>
      </c>
      <c r="F17" t="s" s="9">
        <v>742</v>
      </c>
    </row>
    <row r="18" spans="1:6">
      <c r="A18" t="s" s="9">
        <v>210</v>
      </c>
      <c r="B18" t="s" s="9">
        <v>450</v>
      </c>
      <c r="C18" t="n" s="36">
        <v>0.13</v>
      </c>
      <c r="D18" s="35"/>
      <c r="E18" t="s" s="9">
        <v>740</v>
      </c>
      <c r="F18" t="s" s="9">
        <v>742</v>
      </c>
    </row>
    <row r="19" spans="1:6">
      <c r="A19" t="s" s="9">
        <v>743</v>
      </c>
      <c r="B19" t="s" s="9">
        <v>11</v>
      </c>
      <c r="C19" s="34">
        <f>='03_Дальность'!C12</f>
      </c>
      <c r="D19" s="35"/>
      <c r="E19" t="s" s="9">
        <v>744</v>
      </c>
      <c r="F19" t="s" s="9">
        <v>745</v>
      </c>
    </row>
    <row r="20" spans="1:6">
      <c r="A20" t="s" s="9">
        <v>746</v>
      </c>
      <c r="B20" t="s" s="9">
        <v>14</v>
      </c>
      <c r="C20" s="34">
        <f>='05_Аэродинамика'!C6</f>
      </c>
      <c r="D20" s="35"/>
      <c r="E20" t="s" s="9">
        <v>747</v>
      </c>
      <c r="F20" t="s" s="9">
        <v>748</v>
      </c>
    </row>
    <row r="21" spans="1:6">
      <c r="D21"/>
    </row>
    <row r="22" spans="1:6">
      <c r="A22" t="s" s="7">
        <v>749</v>
      </c>
      <c r="B22" t="s" s="7">
        <v>2</v>
      </c>
      <c r="C22" t="s" s="37">
        <v>54</v>
      </c>
      <c r="D22" s="37"/>
      <c r="E22" t="s" s="7">
        <v>71</v>
      </c>
      <c r="F22" t="s" s="7">
        <v>642</v>
      </c>
    </row>
    <row r="23" spans="1:6">
      <c r="A23" t="s" s="9">
        <v>750</v>
      </c>
      <c r="B23" t="s" s="9">
        <v>737</v>
      </c>
      <c r="C23" s="34">
        <f>=0.8/(1+0.5*SQRT(C9))</f>
      </c>
      <c r="D23" s="35"/>
      <c r="E23" t="s" s="9">
        <v>751</v>
      </c>
      <c r="F23" t="s" s="9">
        <v>752</v>
      </c>
    </row>
    <row r="24" spans="1:6">
      <c r="A24" t="s" s="9">
        <v>753</v>
      </c>
      <c r="B24" t="s" s="9">
        <v>737</v>
      </c>
      <c r="C24" s="34">
        <f>=C23+0.4*C10/(1+0.027*C8/1000)</f>
      </c>
      <c r="D24" s="35"/>
      <c r="E24" t="s" s="9">
        <v>754</v>
      </c>
      <c r="F24" t="s" s="9">
        <v>755</v>
      </c>
    </row>
    <row r="25" spans="1:6">
      <c r="A25" t="s" s="9">
        <v>756</v>
      </c>
      <c r="B25" t="s" s="9">
        <v>660</v>
      </c>
      <c r="C25" s="28">
        <f>=(C24-C15)/C15</f>
      </c>
      <c r="D25" s="29"/>
      <c r="E25" t="s" s="9">
        <v>757</v>
      </c>
      <c r="F25" t="s" s="9">
        <v>758</v>
      </c>
    </row>
    <row r="26" spans="1:6">
      <c r="D26"/>
    </row>
    <row r="27" spans="1:6">
      <c r="A27" t="s" s="7">
        <v>759</v>
      </c>
      <c r="B27" t="s" s="7">
        <v>2</v>
      </c>
      <c r="C27" t="s" s="37">
        <v>54</v>
      </c>
      <c r="D27" s="37"/>
      <c r="E27" t="s" s="7">
        <v>71</v>
      </c>
      <c r="F27" t="s" s="7">
        <v>642</v>
      </c>
    </row>
    <row r="28" spans="1:6">
      <c r="A28" t="s" s="9">
        <v>760</v>
      </c>
      <c r="B28" t="s" s="9">
        <v>450</v>
      </c>
      <c r="C28" s="34">
        <f>=0.0035*C8/1000*(1-0.03*C9)/(1-0.004*C8/1000)</f>
      </c>
      <c r="D28" s="35"/>
      <c r="E28" t="s" s="9">
        <v>761</v>
      </c>
      <c r="F28" s="9"/>
    </row>
    <row r="29" spans="1:6">
      <c r="A29" t="s" s="9">
        <v>762</v>
      </c>
      <c r="B29" t="s" s="9">
        <v>450</v>
      </c>
      <c r="C29" s="34">
        <f>=0.002*C8/1000*(1-0.023*C8/1000)*(1-0.03*C9)</f>
      </c>
      <c r="D29" s="35"/>
      <c r="E29" t="s" s="9">
        <v>763</v>
      </c>
      <c r="F29" s="9"/>
    </row>
    <row r="30" spans="1:6">
      <c r="A30" t="s" s="9">
        <v>764</v>
      </c>
      <c r="B30" t="s" s="9">
        <v>450</v>
      </c>
      <c r="C30" s="34">
        <f>=C13*C15/C14</f>
      </c>
      <c r="D30" s="35"/>
      <c r="E30" t="s" s="9">
        <v>765</v>
      </c>
      <c r="F30" t="s" s="9">
        <v>766</v>
      </c>
    </row>
    <row r="31" spans="1:6">
      <c r="A31" t="s" s="9">
        <v>767</v>
      </c>
      <c r="B31" t="s" s="9">
        <v>450</v>
      </c>
      <c r="C31" s="34">
        <f>=0.006</f>
      </c>
      <c r="D31" s="35"/>
      <c r="E31" t="s" s="9">
        <v>768</v>
      </c>
      <c r="F31" t="s" s="9">
        <v>769</v>
      </c>
    </row>
    <row r="32" spans="1:6">
      <c r="A32" t="s" s="9">
        <v>770</v>
      </c>
      <c r="B32" t="s" s="9">
        <v>11</v>
      </c>
      <c r="C32" s="34">
        <f>=40*C8/1000</f>
      </c>
      <c r="D32" s="35"/>
      <c r="E32" t="s" s="9">
        <v>771</v>
      </c>
      <c r="F32" s="9"/>
    </row>
    <row r="33" spans="1:6">
      <c r="A33" t="s" s="9">
        <v>772</v>
      </c>
      <c r="B33" t="s" s="9">
        <v>450</v>
      </c>
      <c r="C33" s="34">
        <f>=(1-C28)*(1-1/EXP((C19-C32)*C15/((C11-C12)*C14)))</f>
      </c>
      <c r="D33" s="35"/>
      <c r="E33" t="s" s="9">
        <v>729</v>
      </c>
      <c r="F33" t="s" s="9">
        <v>773</v>
      </c>
    </row>
    <row r="34" spans="1:6">
      <c r="A34" t="s" s="9">
        <v>774</v>
      </c>
      <c r="B34" t="s" s="9">
        <v>450</v>
      </c>
      <c r="C34" s="34">
        <f>=C28+C29+C30+C31+C33</f>
      </c>
      <c r="D34" s="35"/>
      <c r="E34" t="s" s="9">
        <v>775</v>
      </c>
      <c r="F34" s="9"/>
    </row>
    <row r="35" spans="1:6">
      <c r="A35" t="s" s="9">
        <v>776</v>
      </c>
      <c r="B35" t="s" s="9">
        <v>14</v>
      </c>
      <c r="C35" s="34">
        <f>=(C6+C7)/(1-C16-C17-C18-C34)</f>
      </c>
      <c r="D35" s="35"/>
      <c r="E35" t="s" s="9">
        <v>777</v>
      </c>
      <c r="F35" t="s" s="9">
        <v>778</v>
      </c>
    </row>
    <row r="36" spans="1:6">
      <c r="A36" t="s" s="9">
        <v>779</v>
      </c>
      <c r="B36" t="s" s="9">
        <v>660</v>
      </c>
      <c r="C36" s="28">
        <f>=(C35-C20)/C20</f>
      </c>
      <c r="D36" s="29"/>
      <c r="E36" t="s" s="9">
        <v>780</v>
      </c>
      <c r="F36" s="9"/>
    </row>
    <row r="37" spans="1:6">
      <c r="D37"/>
    </row>
    <row r="38" spans="1:6">
      <c r="A38" t="s" s="7">
        <v>781</v>
      </c>
      <c r="B38" t="s" s="7">
        <v>2</v>
      </c>
      <c r="C38" t="s" s="37">
        <v>54</v>
      </c>
      <c r="D38" s="37"/>
      <c r="E38" t="s" s="7">
        <v>71</v>
      </c>
      <c r="F38" t="s" s="7">
        <v>642</v>
      </c>
    </row>
    <row r="39" spans="1:6">
      <c r="A39" t="s" s="9">
        <v>782</v>
      </c>
      <c r="B39" t="s" s="9">
        <v>450</v>
      </c>
      <c r="C39" s="34">
        <f>=(C15*(C19+C13*C11)/(1020*C10*C14))^2</f>
      </c>
      <c r="D39" s="35"/>
      <c r="E39" t="s" s="9">
        <v>783</v>
      </c>
      <c r="F39" s="9"/>
    </row>
    <row r="40" spans="1:6">
      <c r="A40" t="s" s="9">
        <v>784</v>
      </c>
      <c r="B40" t="s" s="9">
        <v>450</v>
      </c>
      <c r="C40" s="34">
        <f>=0.52*(SQRT(4*C39+C39^2)-C39)</f>
      </c>
      <c r="D40" s="35"/>
      <c r="E40" t="s" s="9">
        <v>785</v>
      </c>
      <c r="F40" s="9"/>
    </row>
    <row r="41" spans="1:6">
      <c r="A41" t="s" s="9">
        <v>786</v>
      </c>
      <c r="B41" t="s" s="9">
        <v>14</v>
      </c>
      <c r="C41" s="34">
        <f>=(C6+C7)/(1-C16-C17-C18-C40)</f>
      </c>
      <c r="D41" s="35"/>
      <c r="E41" t="s" s="9">
        <v>777</v>
      </c>
      <c r="F41" t="s" s="9">
        <v>787</v>
      </c>
    </row>
    <row r="42" spans="1:6">
      <c r="A42" t="s" s="9">
        <v>779</v>
      </c>
      <c r="B42" t="s" s="9">
        <v>660</v>
      </c>
      <c r="C42" s="28">
        <f>=(C41-C20)/C20</f>
      </c>
      <c r="D42" s="29"/>
      <c r="E42" t="s" s="9">
        <v>780</v>
      </c>
      <c r="F42" s="9"/>
    </row>
    <row r="43" spans="1:6">
      <c r="D43"/>
    </row>
    <row r="44" spans="1:6">
      <c r="A44" t="s" s="7">
        <v>788</v>
      </c>
      <c r="B44" t="s" s="7">
        <v>2</v>
      </c>
      <c r="C44" t="s" s="37">
        <v>54</v>
      </c>
      <c r="D44" s="37"/>
      <c r="E44" t="s" s="7">
        <v>6</v>
      </c>
      <c r="F44" t="s" s="7">
        <v>642</v>
      </c>
    </row>
    <row r="45" spans="1:6">
      <c r="A45" t="s" s="9">
        <v>789</v>
      </c>
      <c r="B45" t="s" s="9">
        <v>790</v>
      </c>
      <c r="C45" s="34">
        <f>=IF(ABS(C36)&lt;=ABS(C42),1,2)</f>
      </c>
      <c r="D45" s="35"/>
      <c r="E45" t="s" s="9">
        <v>791</v>
      </c>
      <c r="F45" t="s" s="9">
        <v>792</v>
      </c>
    </row>
    <row r="46" spans="1:6">
      <c r="A46" t="s" s="9">
        <v>793</v>
      </c>
      <c r="B46" t="s" s="9">
        <v>450</v>
      </c>
      <c r="C46" s="34">
        <f>=IF(C45=1,C34,C40)</f>
      </c>
      <c r="D46" s="35"/>
      <c r="E46" t="s" s="9">
        <v>794</v>
      </c>
      <c r="F46" s="9"/>
    </row>
    <row r="47" spans="1:6">
      <c r="A47" t="s" s="9">
        <v>795</v>
      </c>
      <c r="B47" t="s" s="9">
        <v>14</v>
      </c>
      <c r="C47" s="34">
        <f>=IF(C45=1,C35,C41)</f>
      </c>
      <c r="D47" s="35"/>
      <c r="E47" t="s" s="9">
        <v>777</v>
      </c>
      <c r="F47" t="s" s="9">
        <v>796</v>
      </c>
    </row>
    <row r="48" spans="1:6">
      <c r="A48" t="s" s="9">
        <v>797</v>
      </c>
      <c r="B48" t="s" s="9">
        <v>660</v>
      </c>
      <c r="C48" s="28">
        <f>=IF(C45=1,C36,C42)</f>
      </c>
      <c r="D48" s="29"/>
      <c r="E48" t="s" s="9">
        <v>757</v>
      </c>
      <c r="F48" s="9"/>
    </row>
    <row r="49" spans="1:6">
      <c r="D49"/>
    </row>
    <row r="50" spans="1:6">
      <c r="D50"/>
    </row>
    <row r="51" spans="1:6">
      <c r="A51" t="s" s="8">
        <v>798</v>
      </c>
      <c r="B51" t="s" s="8">
        <v>799</v>
      </c>
      <c r="C51" s="8"/>
      <c r="D51" s="8"/>
      <c r="E51" s="8"/>
      <c r="F51" s="8"/>
    </row>
    <row r="52" spans="1:6">
      <c r="D52"/>
    </row>
    <row r="53" spans="1:6">
      <c r="D53"/>
    </row>
    <row r="54" spans="1:6">
      <c r="D54"/>
    </row>
    <row r="55" spans="1:6">
      <c r="D55"/>
    </row>
    <row r="56" spans="1:6">
      <c r="D56"/>
    </row>
    <row r="57" spans="1:6">
      <c r="D57"/>
    </row>
    <row r="58" spans="1:6">
      <c r="D58"/>
    </row>
    <row r="59" spans="1:6">
      <c r="D59"/>
    </row>
    <row r="60" spans="1:6">
      <c r="D60"/>
    </row>
    <row r="61" spans="1:6">
      <c r="D61"/>
    </row>
    <row r="62" spans="1:6">
      <c r="D62"/>
    </row>
    <row r="63" spans="1:6">
      <c r="D63"/>
    </row>
    <row r="64" spans="1:6">
      <c r="D64"/>
    </row>
    <row r="65" spans="1:6">
      <c r="D65"/>
    </row>
    <row r="66" spans="1:6">
      <c r="D66"/>
    </row>
    <row r="67" spans="1:6">
      <c r="D67"/>
    </row>
    <row r="68" spans="1:6">
      <c r="D68"/>
    </row>
    <row r="69" spans="1:6">
      <c r="D69"/>
    </row>
    <row r="70" spans="1:6">
      <c r="D70"/>
    </row>
    <row r="71" spans="1:6">
      <c r="D71"/>
    </row>
    <row r="72" spans="1:6">
      <c r="D72"/>
    </row>
    <row r="73" spans="1:6">
      <c r="D73"/>
    </row>
    <row r="74" spans="1:6">
      <c r="D74"/>
    </row>
    <row r="75" spans="1:6">
      <c r="D75"/>
    </row>
    <row r="76" spans="1:6">
      <c r="D76"/>
    </row>
    <row r="77" spans="1:6">
      <c r="D77"/>
    </row>
    <row r="78" spans="1:6">
      <c r="D78"/>
    </row>
    <row r="79" spans="1:6">
      <c r="D79"/>
    </row>
    <row r="80" spans="1:6">
      <c r="D80"/>
    </row>
    <row r="81" spans="1:6">
      <c r="D81"/>
    </row>
    <row r="82" spans="1:6">
      <c r="D82"/>
    </row>
    <row r="83" spans="1:6">
      <c r="D83"/>
    </row>
    <row r="84" spans="1:6">
      <c r="D84"/>
    </row>
    <row r="85" spans="1:6">
      <c r="D85"/>
    </row>
    <row r="86" spans="1:6">
      <c r="D86"/>
    </row>
    <row r="87" spans="1:6">
      <c r="D87"/>
    </row>
    <row r="88" spans="1:6">
      <c r="D88"/>
    </row>
    <row r="89" spans="1:6">
      <c r="D89"/>
    </row>
    <row r="90" spans="1:6">
      <c r="D90"/>
    </row>
    <row r="91" spans="1:6">
      <c r="D91"/>
    </row>
    <row r="92" spans="1:6">
      <c r="D92"/>
    </row>
    <row r="93" spans="1:6">
      <c r="D93"/>
    </row>
    <row r="94" spans="1:6">
      <c r="D94"/>
    </row>
    <row r="95" spans="1:6">
      <c r="D95"/>
    </row>
    <row r="96" spans="1:6">
      <c r="D96"/>
    </row>
    <row r="97" spans="1:6">
      <c r="D97"/>
    </row>
    <row r="98" spans="1:6">
      <c r="D98"/>
    </row>
    <row r="99" spans="1:6">
      <c r="D99"/>
    </row>
    <row r="100" spans="1:6">
      <c r="D100"/>
    </row>
  </sheetData>
  <mergeCells count="2">
    <mergeCell ref="A1:F1"/>
    <mergeCell ref="B51:F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0D6C9-C96C-4EB2-A849-5C685EFD094B}">
  <dimension ref="A1:Z120"/>
  <sheetViews>
    <sheetView tabSelected="0" workbookViewId="0"/>
  </sheetViews>
  <sheetFormatPr baseColWidth="10" defaultRowHeight="16" x14ac:dyDescent="0.2"/>
  <cols>
    <col max="4" min="4" width="0.7109375" customWidth="1"/>
    <col max="1" min="1" width="50.7109375" customWidth="1"/>
    <col max="26" min="26" width="0.7109375" customWidth="1"/>
    <col max="5" min="5" width="34.7109375" customWidth="1"/>
    <col max="2" min="2" width="16.7109375" customWidth="1"/>
    <col max="6" min="6" width="48.7109375" customWidth="1"/>
    <col max="3" min="3" width="28.7109375" customWidth="1"/>
  </cols>
  <sheetData>
    <row r="1" spans="1:26" ht="28.2109375" customHeight="1">
      <c r="A1" t="s" s="3">
        <v>800</v>
      </c>
      <c r="B1"/>
      <c r="C1"/>
      <c r="D1"/>
      <c r="E1"/>
      <c r="F1"/>
    </row>
    <row r="3" spans="1:26">
      <c r="A3" t="s" s="7">
        <v>478</v>
      </c>
      <c r="B3" t="s" s="7">
        <v>2</v>
      </c>
      <c r="C3" t="s" s="7">
        <v>520</v>
      </c>
      <c r="D3" s="7"/>
      <c r="E3" t="s" s="7">
        <v>71</v>
      </c>
      <c r="F3" t="s" s="7">
        <v>715</v>
      </c>
    </row>
    <row r="4" spans="1:26">
      <c r="D4"/>
    </row>
    <row r="5" spans="1:26">
      <c r="D5"/>
    </row>
    <row r="6" spans="1:26">
      <c r="A6" t="s" s="9">
        <v>627</v>
      </c>
      <c r="B6" t="s" s="9">
        <v>41</v>
      </c>
      <c r="C6" s="32">
        <f>='05_Аэродинамика'!C14</f>
      </c>
      <c r="D6" s="31"/>
      <c r="E6" t="s" s="9">
        <v>720</v>
      </c>
      <c r="F6" t="s" s="9">
        <v>801</v>
      </c>
    </row>
    <row r="7" spans="1:26">
      <c r="A7" t="s" s="9">
        <v>630</v>
      </c>
      <c r="B7" t="s" s="9">
        <v>450</v>
      </c>
      <c r="C7" s="32">
        <f>='05_Аэродинамика'!C15</f>
      </c>
      <c r="D7" s="31"/>
      <c r="E7" t="s" s="9">
        <v>802</v>
      </c>
      <c r="F7" t="s" s="9">
        <v>801</v>
      </c>
    </row>
    <row r="8" spans="1:26">
      <c r="A8" t="s" s="9">
        <v>633</v>
      </c>
      <c r="B8" t="s" s="9">
        <v>45</v>
      </c>
      <c r="C8" s="32">
        <f>='05_Аэродинамика'!C16</f>
      </c>
      <c r="D8" s="31"/>
      <c r="E8" t="s" s="9">
        <v>726</v>
      </c>
      <c r="F8" t="s" s="9">
        <v>803</v>
      </c>
    </row>
    <row r="9" spans="1:26">
      <c r="A9" t="s" s="9">
        <v>804</v>
      </c>
      <c r="B9" t="s" s="9">
        <v>676</v>
      </c>
      <c r="C9" s="32">
        <f>='05_Аэродинамика'!C35</f>
      </c>
      <c r="D9" s="31"/>
      <c r="E9" t="s" s="9">
        <v>805</v>
      </c>
      <c r="F9" t="s" s="9">
        <v>360</v>
      </c>
    </row>
    <row r="10" spans="1:26">
      <c r="A10" t="s" s="9">
        <v>806</v>
      </c>
      <c r="B10" t="s" s="9">
        <v>450</v>
      </c>
      <c r="C10" s="32">
        <f>='05_Аэродинамика'!C36</f>
      </c>
      <c r="D10" s="31"/>
      <c r="E10" t="s" s="9">
        <v>807</v>
      </c>
      <c r="F10" t="s" s="9">
        <v>367</v>
      </c>
    </row>
    <row r="11" spans="1:26">
      <c r="A11" t="s" s="9">
        <v>334</v>
      </c>
      <c r="B11" t="s" s="9">
        <v>450</v>
      </c>
      <c r="C11" s="32">
        <f>='05_Аэродинамика'!C39</f>
      </c>
      <c r="D11" s="31"/>
      <c r="E11" t="s" s="9">
        <v>808</v>
      </c>
      <c r="F11" t="s" s="9">
        <v>686</v>
      </c>
    </row>
    <row r="12" spans="1:26">
      <c r="A12" t="s" s="9">
        <v>322</v>
      </c>
      <c r="B12" t="s" s="9">
        <v>450</v>
      </c>
      <c r="C12" s="32">
        <f>='05_Аэродинамика'!C41</f>
      </c>
      <c r="D12" s="31"/>
      <c r="E12" t="s" s="9">
        <v>734</v>
      </c>
      <c r="F12" t="s" s="9">
        <v>691</v>
      </c>
    </row>
    <row r="13" spans="1:26">
      <c r="A13" t="s" s="9">
        <v>809</v>
      </c>
      <c r="B13" t="s" s="9">
        <v>450</v>
      </c>
      <c r="C13" s="32">
        <f>='06_Масса_I'!C46</f>
      </c>
      <c r="D13" s="31"/>
      <c r="E13" t="s" s="9">
        <v>810</v>
      </c>
      <c r="F13" t="s" s="9">
        <v>811</v>
      </c>
    </row>
    <row r="14" spans="1:26">
      <c r="A14" t="s" s="9">
        <v>812</v>
      </c>
      <c r="B14" t="s" s="9">
        <v>450</v>
      </c>
      <c r="C14" s="32">
        <f>='06_Масса_I'!C30</f>
      </c>
      <c r="D14" s="31"/>
      <c r="E14" t="s" s="9">
        <v>813</v>
      </c>
      <c r="F14" t="s" s="9">
        <v>765</v>
      </c>
    </row>
    <row r="15" spans="1:26">
      <c r="A15" t="s" s="9">
        <v>814</v>
      </c>
      <c r="B15" t="s" s="9">
        <v>815</v>
      </c>
      <c r="C15" t="n" s="30">
        <v>9.8</v>
      </c>
      <c r="D15" s="31"/>
      <c r="E15" t="s" s="9">
        <v>816</v>
      </c>
      <c r="F15" t="s" s="9">
        <v>817</v>
      </c>
    </row>
    <row r="16" spans="1:26">
      <c r="A16" t="s" s="9">
        <v>818</v>
      </c>
      <c r="B16" t="s" s="9">
        <v>450</v>
      </c>
      <c r="C16" t="n" s="30">
        <v>0.7</v>
      </c>
      <c r="D16" s="31"/>
      <c r="E16" t="s" s="9">
        <v>819</v>
      </c>
      <c r="F16" t="s" s="9">
        <v>820</v>
      </c>
    </row>
    <row r="17" spans="1:26">
      <c r="A17" t="s" s="9">
        <v>821</v>
      </c>
      <c r="B17" t="s" s="9">
        <v>450</v>
      </c>
      <c r="C17" t="n" s="30">
        <v>0.9</v>
      </c>
      <c r="D17" s="31"/>
      <c r="E17" t="s" s="9">
        <v>819</v>
      </c>
      <c r="F17" t="s" s="9">
        <v>820</v>
      </c>
    </row>
    <row r="18" spans="1:26">
      <c r="D18"/>
    </row>
    <row r="19" spans="1:26">
      <c r="A19" t="s" s="7">
        <v>822</v>
      </c>
      <c r="B19" t="s" s="7">
        <v>2</v>
      </c>
      <c r="C19" t="s" s="33">
        <v>54</v>
      </c>
      <c r="D19" s="33"/>
      <c r="E19" t="s" s="7">
        <v>71</v>
      </c>
      <c r="F19" t="s" s="7">
        <v>642</v>
      </c>
    </row>
    <row r="20" spans="1:26">
      <c r="A20" t="s" s="9">
        <v>823</v>
      </c>
      <c r="B20" t="s" s="9">
        <v>457</v>
      </c>
      <c r="C20" s="32">
        <f>=C9*(C8/3.6)^2/(2*C15)</f>
      </c>
      <c r="D20" s="31"/>
      <c r="E20" t="s" s="9">
        <v>824</v>
      </c>
      <c r="F20" t="s" s="9">
        <v>825</v>
      </c>
    </row>
    <row r="21" spans="1:26">
      <c r="A21" t="s" s="9">
        <v>826</v>
      </c>
      <c r="B21" t="s" s="9">
        <v>457</v>
      </c>
      <c r="C21" s="32">
        <f>=C11*C20/(1-0.5*(C13-C14))</f>
      </c>
      <c r="D21" s="31"/>
      <c r="E21" t="s" s="9">
        <v>827</v>
      </c>
      <c r="F21" t="s" s="9">
        <v>828</v>
      </c>
    </row>
    <row r="22" spans="1:26">
      <c r="D22"/>
    </row>
    <row r="23" spans="1:26">
      <c r="A23" t="s" s="7">
        <v>829</v>
      </c>
      <c r="B23" t="s" s="7">
        <v>2</v>
      </c>
      <c r="C23" t="s" s="33">
        <v>54</v>
      </c>
      <c r="D23" s="33"/>
      <c r="E23" t="s" s="7">
        <v>71</v>
      </c>
      <c r="F23" t="s" s="7">
        <v>642</v>
      </c>
    </row>
    <row r="24" spans="1:26">
      <c r="A24" t="s" s="9">
        <v>830</v>
      </c>
      <c r="B24" t="s" s="9">
        <v>450</v>
      </c>
      <c r="C24" s="32">
        <f>=1-0.32*C7+0.4*C7^2-0.01*C7^3</f>
      </c>
      <c r="D24" s="31"/>
      <c r="E24" t="s" s="9">
        <v>831</v>
      </c>
      <c r="F24" t="s" s="9">
        <v>832</v>
      </c>
    </row>
    <row r="25" spans="1:26">
      <c r="A25" t="s" s="9">
        <v>833</v>
      </c>
      <c r="B25" t="s" s="9">
        <v>834</v>
      </c>
      <c r="C25" s="32">
        <f>=(1-0.5*(C13-C14))/(C12*C24*C10^0.85*C16)</f>
      </c>
      <c r="D25" s="31"/>
      <c r="E25" t="s" s="9">
        <v>835</v>
      </c>
      <c r="F25" t="s" s="9">
        <v>836</v>
      </c>
    </row>
    <row r="26" spans="1:26">
      <c r="A26" t="s" s="9">
        <v>837</v>
      </c>
      <c r="B26" t="s" s="9">
        <v>834</v>
      </c>
      <c r="C26" s="32">
        <f>=(1-0.5*(C13-C14))/(C12*C24*C10^0.85*C17)</f>
      </c>
      <c r="D26" s="31"/>
      <c r="E26" t="s" s="9">
        <v>835</v>
      </c>
      <c r="F26" t="s" s="9">
        <v>838</v>
      </c>
    </row>
    <row r="27" spans="1:26">
      <c r="D27"/>
    </row>
    <row r="28" spans="1:26">
      <c r="A28" t="s" s="7">
        <v>839</v>
      </c>
      <c r="B28" t="s" s="7">
        <v>2</v>
      </c>
      <c r="C28" t="s" s="33">
        <v>520</v>
      </c>
      <c r="D28" s="33"/>
      <c r="E28" t="s" s="7">
        <v>71</v>
      </c>
      <c r="F28" t="s" s="7">
        <v>642</v>
      </c>
    </row>
    <row r="29" spans="1:26">
      <c r="A29" t="s" s="9">
        <v>663</v>
      </c>
      <c r="B29" t="s" s="9">
        <v>450</v>
      </c>
      <c r="C29" s="32">
        <f>='05_Аэродинамика'!C28</f>
      </c>
      <c r="D29" s="31"/>
      <c r="E29" t="s" s="9">
        <v>840</v>
      </c>
      <c r="F29" t="s" s="9">
        <v>841</v>
      </c>
    </row>
    <row r="30" spans="1:26">
      <c r="A30" t="s" s="9">
        <v>842</v>
      </c>
      <c r="B30" t="s" s="9">
        <v>450</v>
      </c>
      <c r="C30" t="n" s="30">
        <v>0.7</v>
      </c>
      <c r="D30" s="31"/>
      <c r="E30" t="s" s="9">
        <v>843</v>
      </c>
      <c r="F30" t="s" s="9">
        <v>844</v>
      </c>
    </row>
    <row r="31" spans="1:26">
      <c r="A31" t="s" s="9">
        <v>845</v>
      </c>
      <c r="B31" t="s" s="9">
        <v>450</v>
      </c>
      <c r="C31" t="n" s="30">
        <v>0.98</v>
      </c>
      <c r="D31" s="31"/>
      <c r="E31" t="s" s="9">
        <v>846</v>
      </c>
      <c r="F31" t="s" s="9">
        <v>847</v>
      </c>
    </row>
    <row r="32" spans="1:26">
      <c r="A32" t="s" s="9">
        <v>848</v>
      </c>
      <c r="B32" t="s" s="9">
        <v>450</v>
      </c>
      <c r="C32" t="n" s="30">
        <v>0.55</v>
      </c>
      <c r="D32" s="31"/>
      <c r="E32" t="s" s="9">
        <v>849</v>
      </c>
      <c r="F32" t="s" s="9">
        <v>850</v>
      </c>
    </row>
    <row r="33" spans="1:26">
      <c r="A33" t="s" s="9">
        <v>851</v>
      </c>
      <c r="B33" t="s" s="9">
        <v>450</v>
      </c>
      <c r="C33" s="32">
        <f>=C30*C29</f>
      </c>
      <c r="D33" s="31"/>
      <c r="E33" t="s" s="9">
        <v>852</v>
      </c>
      <c r="F33" t="s" s="9">
        <v>853</v>
      </c>
    </row>
    <row r="34" spans="1:26">
      <c r="A34" t="s" s="9">
        <v>854</v>
      </c>
      <c r="B34" t="s" s="9">
        <v>450</v>
      </c>
      <c r="C34" s="32">
        <f>=C31*C33</f>
      </c>
      <c r="D34" s="31"/>
      <c r="E34" t="s" s="9">
        <v>846</v>
      </c>
      <c r="F34" t="s" s="9">
        <v>855</v>
      </c>
    </row>
    <row r="35" spans="1:26">
      <c r="A35" t="s" s="9">
        <v>348</v>
      </c>
      <c r="B35" t="s" s="9">
        <v>450</v>
      </c>
      <c r="C35" s="32">
        <f>=C32*C29</f>
      </c>
      <c r="D35" s="31"/>
      <c r="E35" t="s" s="9">
        <v>856</v>
      </c>
      <c r="F35" t="s" s="9">
        <v>857</v>
      </c>
    </row>
    <row r="36" spans="1:26">
      <c r="A36" t="s" s="7">
        <v>858</v>
      </c>
      <c r="B36" t="s" s="7">
        <v>2</v>
      </c>
      <c r="C36" t="s" s="33">
        <v>54</v>
      </c>
      <c r="D36" s="33"/>
      <c r="E36" t="s" s="7">
        <v>71</v>
      </c>
      <c r="F36" t="s" s="7">
        <v>642</v>
      </c>
    </row>
    <row r="37" spans="1:26">
      <c r="A37" t="s" s="9">
        <v>859</v>
      </c>
      <c r="B37" t="s" s="9">
        <v>860</v>
      </c>
      <c r="C37" t="n" s="30">
        <v>2.0</v>
      </c>
      <c r="D37" s="31"/>
      <c r="E37" t="s" s="9">
        <v>861</v>
      </c>
      <c r="F37" t="s" s="9">
        <v>862</v>
      </c>
    </row>
    <row r="38" spans="1:26">
      <c r="A38" t="s" s="9">
        <v>863</v>
      </c>
      <c r="B38" t="s" s="9">
        <v>450</v>
      </c>
      <c r="C38" t="n" s="30">
        <v>1.35</v>
      </c>
      <c r="D38" s="31"/>
      <c r="E38" t="s" s="9">
        <v>864</v>
      </c>
      <c r="F38" t="s" s="9">
        <v>865</v>
      </c>
    </row>
    <row r="39" spans="1:26">
      <c r="A39" t="s" s="9">
        <v>866</v>
      </c>
      <c r="B39" t="s" s="9">
        <v>450</v>
      </c>
      <c r="C39" t="n" s="30">
        <v>0.024</v>
      </c>
      <c r="D39" s="31"/>
      <c r="E39" t="s" s="9">
        <v>867</v>
      </c>
      <c r="F39" t="s" s="9">
        <v>868</v>
      </c>
    </row>
    <row r="40" spans="1:26">
      <c r="A40" t="s" s="9">
        <v>869</v>
      </c>
      <c r="B40" t="s" s="9">
        <v>834</v>
      </c>
      <c r="C40" s="32">
        <f>=C38*C37/(C37-1)*(1/C34+C39)</f>
      </c>
      <c r="D40" s="31"/>
      <c r="E40" t="s" s="9">
        <v>864</v>
      </c>
      <c r="F40" t="s" s="9">
        <v>870</v>
      </c>
    </row>
    <row r="41" spans="1:26">
      <c r="A41" t="s" s="9">
        <v>871</v>
      </c>
      <c r="B41" t="s" s="9">
        <v>660</v>
      </c>
      <c r="C41" s="28">
        <f>=(C40-'02_Параметры'!C10)/'02_Параметры'!C10</f>
      </c>
      <c r="D41" s="29"/>
      <c r="E41" t="s" s="9">
        <v>872</v>
      </c>
      <c r="F41" t="s" s="9">
        <v>873</v>
      </c>
    </row>
    <row r="42" spans="1:26">
      <c r="D42"/>
    </row>
    <row r="43" spans="1:26">
      <c r="A43" t="s" s="7">
        <v>874</v>
      </c>
      <c r="B43" t="s" s="7">
        <v>521</v>
      </c>
      <c r="C43" t="s" s="7">
        <v>875</v>
      </c>
      <c r="D43" s="7"/>
      <c r="E43" t="s" s="7">
        <v>54</v>
      </c>
      <c r="F43" t="s" s="7">
        <v>877</v>
      </c>
    </row>
    <row r="44" spans="1:26">
      <c r="A44" t="s" s="9">
        <v>878</v>
      </c>
      <c r="B44" t="s" s="38">
        <v>879</v>
      </c>
      <c r="C44" t="s" s="9">
        <v>880</v>
      </c>
      <c r="D44" s="9"/>
      <c r="E44" t="s" s="9">
        <v>882</v>
      </c>
      <c r="F44" t="s" s="9">
        <v>883</v>
      </c>
    </row>
    <row r="45" spans="1:26">
      <c r="A45" t="s" s="9">
        <v>884</v>
      </c>
      <c r="B45" t="s" s="38">
        <v>101</v>
      </c>
      <c r="C45" t="s" s="9">
        <v>48</v>
      </c>
      <c r="D45" s="9"/>
      <c r="E45" t="s" s="9">
        <v>886</v>
      </c>
      <c r="F45" t="s" s="9">
        <v>887</v>
      </c>
    </row>
    <row r="46" spans="1:26">
      <c r="A46" t="s" s="9">
        <v>888</v>
      </c>
      <c r="B46" t="s" s="38">
        <v>889</v>
      </c>
      <c r="C46" t="s" s="9">
        <v>890</v>
      </c>
      <c r="D46" s="9"/>
      <c r="E46" t="s" s="9">
        <v>892</v>
      </c>
      <c r="F46" t="s" s="9">
        <v>893</v>
      </c>
    </row>
    <row r="47" spans="1:26">
      <c r="A47" t="s" s="9">
        <v>894</v>
      </c>
      <c r="B47" t="s" s="38">
        <v>101</v>
      </c>
      <c r="C47" t="s" s="9">
        <v>895</v>
      </c>
      <c r="D47" s="9"/>
      <c r="E47" t="s" s="9">
        <v>897</v>
      </c>
      <c r="F47" t="s" s="9">
        <v>898</v>
      </c>
    </row>
    <row r="48" spans="1:26">
      <c r="D48"/>
    </row>
    <row r="49" spans="1:26">
      <c r="A49" t="s" s="7">
        <v>899</v>
      </c>
      <c r="B49" t="s" s="7">
        <v>2</v>
      </c>
      <c r="C49" t="s" s="7">
        <v>520</v>
      </c>
      <c r="D49" s="7"/>
      <c r="E49" t="s" s="7">
        <v>71</v>
      </c>
      <c r="F49" t="s" s="7">
        <v>715</v>
      </c>
    </row>
    <row r="50" spans="1:26">
      <c r="A50" t="s" s="9">
        <v>482</v>
      </c>
      <c r="B50" t="s" s="9">
        <v>14</v>
      </c>
      <c r="C50" s="32">
        <f>='02_Параметры'!C4</f>
      </c>
      <c r="D50" s="31"/>
      <c r="E50" t="s" s="9">
        <v>28</v>
      </c>
      <c r="F50" t="s" s="9">
        <v>900</v>
      </c>
    </row>
    <row r="51" spans="1:26">
      <c r="A51" t="s" s="9">
        <v>901</v>
      </c>
      <c r="B51" t="s" s="9">
        <v>14</v>
      </c>
      <c r="C51" s="32">
        <f>='02_Параметры'!C11</f>
      </c>
      <c r="D51" s="31"/>
      <c r="E51" t="s" s="9">
        <v>28</v>
      </c>
      <c r="F51" t="s" s="9">
        <v>900</v>
      </c>
    </row>
    <row r="52" spans="1:26">
      <c r="A52" t="s" s="9">
        <v>902</v>
      </c>
      <c r="B52" t="s" s="9">
        <v>450</v>
      </c>
      <c r="C52" s="32">
        <f>=C51/C50</f>
      </c>
      <c r="D52" s="31"/>
      <c r="E52" t="s" s="9">
        <v>903</v>
      </c>
      <c r="F52" t="s" s="9">
        <v>904</v>
      </c>
    </row>
    <row r="53" spans="1:26">
      <c r="A53" t="s" s="9">
        <v>905</v>
      </c>
      <c r="B53" t="s" s="9">
        <v>906</v>
      </c>
      <c r="C53" t="n" s="30">
        <v>140</v>
      </c>
      <c r="D53" s="31"/>
      <c r="E53" t="s" s="9">
        <v>907</v>
      </c>
      <c r="F53" t="s" s="9">
        <v>908</v>
      </c>
    </row>
    <row r="54" spans="1:26">
      <c r="A54" t="s" s="9">
        <v>909</v>
      </c>
      <c r="B54" t="s" s="9">
        <v>45</v>
      </c>
      <c r="C54" s="32">
        <f>=C53*1.852</f>
      </c>
      <c r="D54" s="31"/>
      <c r="E54" t="s" s="9">
        <v>910</v>
      </c>
      <c r="F54" t="s" s="11">
        <v>911</v>
      </c>
    </row>
    <row r="55" spans="1:26">
      <c r="A55" t="s" s="9">
        <v>912</v>
      </c>
      <c r="B55" t="s" s="9">
        <v>450</v>
      </c>
      <c r="C55" t="n" s="30">
        <v>2.6</v>
      </c>
      <c r="D55" s="31"/>
      <c r="E55" t="s" s="9">
        <v>913</v>
      </c>
      <c r="F55" t="s" s="11">
        <v>914</v>
      </c>
    </row>
    <row r="56" spans="1:26">
      <c r="A56" t="s" s="9">
        <v>915</v>
      </c>
      <c r="B56" t="s" s="9">
        <v>450</v>
      </c>
      <c r="C56" t="n" s="30">
        <v>2.7</v>
      </c>
      <c r="D56" s="31"/>
      <c r="E56" t="s" s="9">
        <v>916</v>
      </c>
      <c r="F56" t="s" s="11">
        <v>917</v>
      </c>
    </row>
    <row r="57" spans="1:26">
      <c r="A57" t="s" s="9">
        <v>918</v>
      </c>
      <c r="B57" t="s" s="9">
        <v>450</v>
      </c>
      <c r="C57" t="n" s="30">
        <v>2.8</v>
      </c>
      <c r="D57" s="31"/>
      <c r="E57" t="s" s="9">
        <v>913</v>
      </c>
      <c r="F57" t="s" s="11">
        <v>919</v>
      </c>
    </row>
    <row r="58" spans="1:26">
      <c r="A58" t="s" s="9">
        <v>920</v>
      </c>
      <c r="B58" t="s" s="9">
        <v>457</v>
      </c>
      <c r="C58" s="32">
        <f>=C55*(C54/3.6)^2/(27.6*C52)</f>
      </c>
      <c r="D58" s="31"/>
      <c r="E58" t="s" s="9">
        <v>882</v>
      </c>
      <c r="F58" t="s" s="11">
        <v>921</v>
      </c>
    </row>
    <row r="59" spans="1:26">
      <c r="A59" t="s" s="9">
        <v>922</v>
      </c>
      <c r="B59" t="s" s="9">
        <v>457</v>
      </c>
      <c r="C59" s="32">
        <f>=C56*(C54/3.6)^2/(27.6*C52)</f>
      </c>
      <c r="D59" s="31"/>
      <c r="E59" t="s" s="9">
        <v>882</v>
      </c>
      <c r="F59" t="s" s="11">
        <v>923</v>
      </c>
    </row>
    <row r="60" spans="1:26">
      <c r="A60" t="s" s="9">
        <v>924</v>
      </c>
      <c r="B60" t="s" s="9">
        <v>457</v>
      </c>
      <c r="C60" s="32">
        <f>=C57*(C54/3.6)^2/(27.6*C52)</f>
      </c>
      <c r="D60" s="31"/>
      <c r="E60" t="s" s="9">
        <v>882</v>
      </c>
      <c r="F60" t="s" s="11">
        <v>921</v>
      </c>
    </row>
    <row r="61" spans="1:26">
      <c r="A61" t="s" s="9">
        <v>925</v>
      </c>
      <c r="B61" t="s" s="9">
        <v>450</v>
      </c>
      <c r="C61" s="32">
        <f>=C21*27.6*C52/(C54/3.6)^2</f>
      </c>
      <c r="D61" s="31"/>
      <c r="E61" t="s" s="9">
        <v>926</v>
      </c>
      <c r="F61" t="s" s="11">
        <v>927</v>
      </c>
    </row>
    <row r="62" spans="1:26">
      <c r="A62" t="s" s="9">
        <v>928</v>
      </c>
      <c r="B62" t="s" s="9">
        <v>457</v>
      </c>
      <c r="C62" s="32">
        <f>=MIN(C21,C59)</f>
      </c>
      <c r="D62" s="31"/>
      <c r="E62" t="s" s="9">
        <v>892</v>
      </c>
      <c r="F62" t="s" s="11">
        <v>929</v>
      </c>
    </row>
    <row r="63" spans="1:26">
      <c r="A63" t="s" s="9">
        <v>930</v>
      </c>
      <c r="B63" t="s" s="9">
        <v>450</v>
      </c>
      <c r="C63" t="s" s="39">
        <v>931</v>
      </c>
      <c r="D63" s="39"/>
      <c r="E63" t="s" s="9">
        <v>933</v>
      </c>
      <c r="F63" t="s" s="11">
        <v>934</v>
      </c>
    </row>
    <row r="64" spans="1:26">
      <c r="D64"/>
    </row>
    <row r="65" spans="1:26">
      <c r="A65" t="s" s="7">
        <v>935</v>
      </c>
      <c r="B65" t="s" s="7">
        <v>2</v>
      </c>
      <c r="C65" t="s" s="33">
        <v>520</v>
      </c>
      <c r="D65" s="33"/>
      <c r="E65" t="s" s="7">
        <v>71</v>
      </c>
      <c r="F65" t="s" s="7">
        <v>715</v>
      </c>
    </row>
    <row r="66" spans="1:26">
      <c r="A66" t="s" s="9">
        <v>936</v>
      </c>
      <c r="B66" t="s" s="9">
        <v>41</v>
      </c>
      <c r="C66" t="n" s="30">
        <v>1980.0</v>
      </c>
      <c r="D66" s="31"/>
      <c r="E66" t="s" s="9">
        <v>937</v>
      </c>
      <c r="F66" t="s" s="11">
        <v>938</v>
      </c>
    </row>
    <row r="67" spans="1:26">
      <c r="A67" t="s" s="9">
        <v>939</v>
      </c>
      <c r="B67" t="s" s="9">
        <v>41</v>
      </c>
      <c r="D67" s="31"/>
      <c r="E67" t="s" s="9">
        <v>940</v>
      </c>
      <c r="F67" t="s" s="11">
        <v>941</v>
      </c>
    </row>
    <row r="68" spans="1:26">
      <c r="A68" t="s" s="9">
        <v>942</v>
      </c>
      <c r="B68" t="s" s="9">
        <v>450</v>
      </c>
      <c r="C68" t="n" s="30">
        <v>2.2</v>
      </c>
      <c r="D68" s="31"/>
      <c r="E68" t="s" s="9">
        <v>913</v>
      </c>
      <c r="F68" t="s" s="11">
        <v>943</v>
      </c>
    </row>
    <row r="69" spans="1:26">
      <c r="A69" t="s" s="9">
        <v>944</v>
      </c>
      <c r="B69" t="s" s="9">
        <v>450</v>
      </c>
      <c r="C69" t="n" s="30">
        <v>2.3</v>
      </c>
      <c r="D69" s="31"/>
      <c r="E69" t="s" s="9">
        <v>945</v>
      </c>
      <c r="F69" t="s" s="11">
        <v>946</v>
      </c>
    </row>
    <row r="70" spans="1:26">
      <c r="A70" t="s" s="9">
        <v>947</v>
      </c>
      <c r="B70" t="s" s="9">
        <v>450</v>
      </c>
      <c r="C70" t="n" s="30">
        <v>2.4</v>
      </c>
      <c r="D70" s="31"/>
      <c r="E70" t="s" s="9">
        <v>913</v>
      </c>
      <c r="F70" t="s" s="11">
        <v>919</v>
      </c>
    </row>
    <row r="71" spans="1:26">
      <c r="A71" t="s" s="9">
        <v>948</v>
      </c>
      <c r="B71" t="s" s="9">
        <v>450</v>
      </c>
      <c r="C71" t="n" s="30">
        <v>0.02</v>
      </c>
      <c r="D71" s="31"/>
      <c r="E71" t="s" s="9">
        <v>949</v>
      </c>
      <c r="F71" t="s" s="11">
        <v>950</v>
      </c>
    </row>
    <row r="72" spans="1:26">
      <c r="A72" t="s" s="9">
        <v>348</v>
      </c>
      <c r="B72" t="s" s="9">
        <v>450</v>
      </c>
      <c r="C72" s="32">
        <f>=C35</f>
      </c>
      <c r="D72" s="31"/>
      <c r="E72" t="s" s="9">
        <v>951</v>
      </c>
      <c r="F72" t="s" s="11">
        <v>952</v>
      </c>
    </row>
    <row r="73" spans="1:26">
      <c r="A73" t="s" s="9">
        <v>953</v>
      </c>
      <c r="B73" t="s" s="9">
        <v>834</v>
      </c>
      <c r="C73" s="32">
        <f>=IF(C67="","",1.05*(1.2*C62/(C69*C67)+0.5*(3*C71+1/C72)))</f>
      </c>
      <c r="D73" s="31"/>
      <c r="E73" t="s" s="9">
        <v>954</v>
      </c>
      <c r="F73" t="s" s="11">
        <v>955</v>
      </c>
    </row>
    <row r="74" spans="1:26">
      <c r="D74"/>
    </row>
    <row r="75" spans="1:26">
      <c r="A75" t="s" s="7">
        <v>956</v>
      </c>
      <c r="B75" t="s" s="7">
        <v>2</v>
      </c>
      <c r="C75" t="s" s="33">
        <v>54</v>
      </c>
      <c r="D75" s="33"/>
      <c r="E75" t="s" s="7">
        <v>6</v>
      </c>
      <c r="F75" t="s" s="7">
        <v>574</v>
      </c>
    </row>
    <row r="76" spans="1:26">
      <c r="A76" t="s" s="9">
        <v>957</v>
      </c>
      <c r="B76" t="s" s="9">
        <v>41</v>
      </c>
      <c r="C76" s="32">
        <f>=1.2*C62/(C68*(C40/1.05-0.5*(3*C71+1/C72)))</f>
      </c>
      <c r="D76" s="31"/>
      <c r="E76" t="s" s="9">
        <v>958</v>
      </c>
      <c r="F76" t="s" s="15">
        <v>959</v>
      </c>
    </row>
    <row r="77" spans="1:26">
      <c r="A77" t="s" s="9">
        <v>960</v>
      </c>
      <c r="B77" t="s" s="9">
        <v>41</v>
      </c>
      <c r="C77" s="32">
        <f>=1.2*C62/(C69*(C40/1.05-0.5*(3*C71+1/C72)))</f>
      </c>
      <c r="D77" s="31"/>
      <c r="E77" t="s" s="9">
        <v>958</v>
      </c>
      <c r="F77" t="s" s="15">
        <v>961</v>
      </c>
    </row>
    <row r="78" spans="1:26">
      <c r="A78" t="s" s="9">
        <v>962</v>
      </c>
      <c r="B78" t="s" s="9">
        <v>41</v>
      </c>
      <c r="C78" s="32">
        <f>=1.2*C62/(C70*(C40/1.05-0.5*(3*C71+1/C72)))</f>
      </c>
      <c r="D78" s="31"/>
      <c r="E78" t="s" s="9">
        <v>958</v>
      </c>
      <c r="F78" t="s" s="15">
        <v>963</v>
      </c>
    </row>
    <row r="79" spans="1:26">
      <c r="D79"/>
    </row>
    <row r="80" spans="1:26">
      <c r="A80" t="s" s="7">
        <v>964</v>
      </c>
      <c r="B80" t="s" s="7">
        <v>2</v>
      </c>
      <c r="C80" t="s" s="33">
        <v>54</v>
      </c>
      <c r="D80" s="33"/>
      <c r="E80" t="s" s="7">
        <v>6</v>
      </c>
      <c r="F80" t="s" s="7">
        <v>574</v>
      </c>
    </row>
    <row r="81" spans="1:26">
      <c r="A81" t="s" s="9">
        <v>965</v>
      </c>
      <c r="B81" t="s" s="9">
        <v>45</v>
      </c>
      <c r="C81" s="32">
        <f>=3.6*SQRT(27.6*C52*C21/C55)</f>
      </c>
      <c r="D81" s="31"/>
      <c r="E81" t="s" s="9">
        <v>966</v>
      </c>
      <c r="F81" t="s" s="15">
        <v>967</v>
      </c>
    </row>
    <row r="82" spans="1:26">
      <c r="A82" t="s" s="9">
        <v>968</v>
      </c>
      <c r="B82" t="s" s="9">
        <v>45</v>
      </c>
      <c r="C82" s="32">
        <f>=3.6*SQRT(27.6*C52*C21/C56)</f>
      </c>
      <c r="D82" s="31"/>
      <c r="E82" t="s" s="9">
        <v>966</v>
      </c>
      <c r="F82" t="s" s="15">
        <v>969</v>
      </c>
    </row>
    <row r="83" spans="1:26">
      <c r="A83" t="s" s="9">
        <v>970</v>
      </c>
      <c r="B83" t="s" s="9">
        <v>45</v>
      </c>
      <c r="C83" s="32">
        <f>=3.6*SQRT(27.6*C52*C21/C57)</f>
      </c>
      <c r="D83" s="31"/>
      <c r="E83" t="s" s="9">
        <v>966</v>
      </c>
      <c r="F83" t="s" s="15">
        <v>971</v>
      </c>
    </row>
    <row r="84" spans="1:26">
      <c r="D84"/>
    </row>
    <row r="85" spans="1:26">
      <c r="A85" t="s" s="7">
        <v>972</v>
      </c>
      <c r="B85" t="s" s="7">
        <v>2</v>
      </c>
      <c r="C85" t="s" s="33">
        <v>54</v>
      </c>
      <c r="D85" s="33"/>
      <c r="E85" t="s" s="7">
        <v>71</v>
      </c>
      <c r="F85" t="s" s="7">
        <v>715</v>
      </c>
    </row>
    <row r="86" spans="1:26">
      <c r="A86" t="s" s="9">
        <v>973</v>
      </c>
      <c r="B86" t="s" s="9">
        <v>14</v>
      </c>
      <c r="C86" s="32">
        <f>='06_Масса_I'!C47</f>
      </c>
      <c r="D86" s="31"/>
      <c r="E86" t="s" s="9">
        <v>974</v>
      </c>
      <c r="F86" t="s" s="38">
        <v>975</v>
      </c>
    </row>
    <row r="87" spans="1:26">
      <c r="A87" t="s" s="9">
        <v>976</v>
      </c>
      <c r="B87" t="s" s="9">
        <v>457</v>
      </c>
      <c r="C87" s="32">
        <f>=C62</f>
      </c>
      <c r="D87" s="31"/>
      <c r="E87" t="s" s="9">
        <v>977</v>
      </c>
      <c r="F87" t="s" s="38">
        <v>978</v>
      </c>
    </row>
    <row r="88" spans="1:26">
      <c r="A88" t="s" s="9">
        <v>611</v>
      </c>
      <c r="B88" t="s" s="9">
        <v>446</v>
      </c>
      <c r="C88" s="32">
        <f>=C86*C15/(9.8*C87)</f>
      </c>
      <c r="D88" s="31"/>
      <c r="E88" t="s" s="9">
        <v>979</v>
      </c>
      <c r="F88" t="s" s="38">
        <v>980</v>
      </c>
    </row>
    <row r="89" spans="1:26">
      <c r="A89" t="s" s="9">
        <v>981</v>
      </c>
      <c r="B89" t="s" s="9">
        <v>660</v>
      </c>
      <c r="C89" s="28">
        <f>=(C88-'02_Параметры'!C5)/'02_Параметры'!C5</f>
      </c>
      <c r="D89" s="29"/>
      <c r="E89" t="s" s="9">
        <v>982</v>
      </c>
      <c r="F89" t="s" s="38">
        <v>983</v>
      </c>
    </row>
    <row r="90" spans="1:26">
      <c r="A90" t="s" s="9">
        <v>984</v>
      </c>
      <c r="B90" t="s" s="9">
        <v>834</v>
      </c>
      <c r="C90" s="32">
        <f>=MAX(C25:C26)</f>
      </c>
      <c r="D90" s="31"/>
      <c r="E90" t="s" s="9">
        <v>985</v>
      </c>
      <c r="F90" t="s" s="38">
        <v>986</v>
      </c>
    </row>
    <row r="91" spans="1:26">
      <c r="A91" t="s" s="9">
        <v>987</v>
      </c>
      <c r="B91" t="s" s="9">
        <v>834</v>
      </c>
      <c r="C91" s="32">
        <f>=IF(C73="","",MAX(C40,C90,C73))</f>
      </c>
      <c r="D91" s="31"/>
      <c r="E91" t="s" s="9">
        <v>897</v>
      </c>
      <c r="F91" t="s" s="38">
        <v>988</v>
      </c>
    </row>
    <row r="92" spans="1:26">
      <c r="A92" t="s" s="9">
        <v>989</v>
      </c>
      <c r="B92" t="s" s="9">
        <v>990</v>
      </c>
      <c r="C92" s="32">
        <f>=IF(C91="","",C91*C86*C15/9.8)</f>
      </c>
      <c r="D92" s="31"/>
      <c r="E92" t="s" s="9">
        <v>991</v>
      </c>
      <c r="F92" t="s" s="38">
        <v>992</v>
      </c>
    </row>
    <row r="93" spans="1:26">
      <c r="A93" t="s" s="9">
        <v>989</v>
      </c>
      <c r="B93" t="s" s="9">
        <v>454</v>
      </c>
      <c r="C93" s="32">
        <f>=IF(C92="","",C92*C15/1000)</f>
      </c>
      <c r="D93" s="31"/>
      <c r="E93" t="s" s="9">
        <v>993</v>
      </c>
      <c r="F93" t="s" s="38">
        <v>994</v>
      </c>
    </row>
    <row r="94" spans="1:26">
      <c r="A94" t="s" s="9">
        <v>995</v>
      </c>
      <c r="B94" t="s" s="9">
        <v>454</v>
      </c>
      <c r="C94" s="32">
        <f>='02_Параметры'!C8</f>
      </c>
      <c r="D94" s="31"/>
      <c r="E94" t="s" s="9">
        <v>996</v>
      </c>
      <c r="F94" t="s" s="38">
        <v>997</v>
      </c>
    </row>
    <row r="95" spans="1:26">
      <c r="A95" t="s" s="9">
        <v>998</v>
      </c>
      <c r="B95" t="s" s="9">
        <v>660</v>
      </c>
      <c r="C95" s="28">
        <f>=IF(C93="","",(C93-C94)/C94)</f>
      </c>
      <c r="D95" s="29"/>
      <c r="E95" t="s" s="9">
        <v>982</v>
      </c>
      <c r="F95" t="s" s="38">
        <v>999</v>
      </c>
    </row>
    <row r="96" spans="1:26">
      <c r="D96"/>
    </row>
    <row r="97" spans="1:26">
      <c r="D97"/>
    </row>
    <row r="98" spans="1:26">
      <c r="A98" t="s" s="7">
        <v>1000</v>
      </c>
      <c r="B98" t="s" s="7">
        <v>2</v>
      </c>
      <c r="C98" t="s" s="33">
        <v>1001</v>
      </c>
      <c r="D98" s="33"/>
      <c r="E98" t="s" s="7">
        <v>6</v>
      </c>
      <c r="F98" t="s" s="7">
        <v>1002</v>
      </c>
    </row>
    <row r="99" spans="1:26">
      <c r="A99" t="s" s="9">
        <v>1003</v>
      </c>
      <c r="B99" t="s" s="9">
        <v>450</v>
      </c>
      <c r="C99" t="s" s="30">
        <v>1004</v>
      </c>
      <c r="D99" s="31"/>
      <c r="E99" t="s" s="9">
        <v>1005</v>
      </c>
      <c r="F99" t="s" s="9">
        <v>1006</v>
      </c>
      <c r="Z99" t="n">
        <v>1</v>
      </c>
    </row>
    <row r="100" spans="1:26">
      <c r="A100" t="s" s="9">
        <v>1007</v>
      </c>
      <c r="B100" t="s" s="9">
        <v>834</v>
      </c>
      <c r="C100" s="32">
        <f>=IF(C91&lt;&gt;"",C91,IF(Z99=1,C40,""))</f>
      </c>
      <c r="D100" s="31"/>
      <c r="E100" t="s" s="9">
        <v>1008</v>
      </c>
      <c r="F100" t="s" s="9">
        <v>1009</v>
      </c>
    </row>
    <row r="101" spans="1:26">
      <c r="A101" t="s" s="9">
        <v>1010</v>
      </c>
      <c r="B101" t="s" s="9">
        <v>990</v>
      </c>
      <c r="C101" s="32">
        <f>=IF(C100="","",C100*C86*C15/9.8)</f>
      </c>
      <c r="D101" s="31"/>
      <c r="E101" t="s" s="9">
        <v>991</v>
      </c>
      <c r="F101" t="s" s="9">
        <v>1011</v>
      </c>
    </row>
    <row r="102" spans="1:26">
      <c r="A102" t="s" s="9">
        <v>1010</v>
      </c>
      <c r="B102" t="s" s="9">
        <v>454</v>
      </c>
      <c r="C102" s="32">
        <f>=IF(C101="","",C101*C15/1000)</f>
      </c>
      <c r="D102" s="31"/>
      <c r="E102" t="s" s="9">
        <v>1012</v>
      </c>
      <c r="F102" t="s" s="9">
        <v>1013</v>
      </c>
    </row>
    <row r="103" spans="1:26">
      <c r="D103"/>
    </row>
    <row r="104" spans="1:26">
      <c r="D104"/>
    </row>
    <row r="105" spans="1:26">
      <c r="D105"/>
    </row>
    <row r="106" spans="1:26">
      <c r="D106"/>
    </row>
    <row r="107" spans="1:26">
      <c r="D107"/>
    </row>
    <row r="108" spans="1:26">
      <c r="D108"/>
    </row>
    <row r="109" spans="1:26">
      <c r="D109"/>
    </row>
    <row r="110" spans="1:26">
      <c r="D110"/>
    </row>
    <row r="111" spans="1:26">
      <c r="D111"/>
    </row>
    <row r="112" spans="1:26">
      <c r="D112"/>
    </row>
    <row r="113" spans="1:26">
      <c r="D113"/>
    </row>
    <row r="114" spans="1:26">
      <c r="D114"/>
    </row>
    <row r="115" spans="1:26">
      <c r="D115"/>
    </row>
    <row r="116" spans="1:26">
      <c r="D116"/>
    </row>
    <row r="117" spans="1:26">
      <c r="D117"/>
    </row>
    <row r="118" spans="1:26">
      <c r="D118"/>
    </row>
    <row r="119" spans="1:26">
      <c r="D119"/>
    </row>
    <row r="120" spans="1:26">
      <c r="D120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1679-8949-4DAA-9CFA-8DECDB7CD43A}">
  <dimension ref="A1:Z206"/>
  <sheetViews>
    <sheetView tabSelected="0" workbookViewId="0"/>
  </sheetViews>
  <sheetFormatPr baseColWidth="10" defaultRowHeight="16" x14ac:dyDescent="0.2"/>
  <cols>
    <col max="4" min="4" width="24.7109375" customWidth="1"/>
    <col max="1" min="1" width="52.7109375" customWidth="1"/>
    <col max="12" min="12" width="58.7109375" customWidth="1"/>
    <col max="20" min="20" width="14.7109375" customWidth="1"/>
    <col max="2" min="2" width="16.7109375" customWidth="1"/>
    <col max="6" min="6" width="24.7109375" customWidth="1"/>
    <col max="11" min="11" width="14.7109375" customWidth="1"/>
    <col max="13" min="13" width="14.7109375" customWidth="1"/>
    <col max="5" min="5" width="14.7109375" customWidth="1"/>
    <col max="15" min="15" width="16.7109375" customWidth="1"/>
    <col max="16" min="16" width="16.7109375" customWidth="1"/>
    <col max="14" min="14" width="14.7109375" customWidth="1"/>
    <col max="21" min="21" width="28.7109375" customWidth="1"/>
    <col max="7" min="7" width="14.7109375" customWidth="1"/>
    <col max="8" min="8" width="26.7109375" customWidth="1"/>
    <col max="26" min="26" width="0.7109375" customWidth="1"/>
    <col max="17" min="17" width="16.7109375" customWidth="1"/>
    <col max="10" min="10" width="26.7109375" customWidth="1"/>
    <col max="19" min="19" width="18.7109375" customWidth="1"/>
    <col max="9" min="9" width="14.7109375" customWidth="1"/>
    <col max="18" min="18" width="14.7109375" customWidth="1"/>
    <col max="3" min="3" width="30.7109375" customWidth="1"/>
  </cols>
  <sheetData>
    <row r="1" spans="1:26" ht="28.2109375" customHeight="1">
      <c r="A1" t="s" s="3">
        <v>1014</v>
      </c>
      <c r="B1"/>
      <c r="C1"/>
      <c r="D1"/>
      <c r="E1"/>
      <c r="F1"/>
    </row>
    <row r="3" spans="1:26">
      <c r="A3" t="s" s="7">
        <v>478</v>
      </c>
      <c r="B3" t="s" s="7">
        <v>2</v>
      </c>
      <c r="C3" t="s" s="7">
        <v>520</v>
      </c>
      <c r="D3" s="7"/>
      <c r="E3" t="s" s="7">
        <v>71</v>
      </c>
      <c r="F3" t="s" s="7">
        <v>715</v>
      </c>
    </row>
    <row r="4" spans="1:26">
      <c r="D4"/>
    </row>
    <row r="5" spans="1:26">
      <c r="A5" t="s" s="9">
        <v>1015</v>
      </c>
      <c r="B5" t="s" s="9">
        <v>14</v>
      </c>
      <c r="C5" s="34">
        <f>='06_Масса_I'!C47</f>
      </c>
      <c r="D5" s="35"/>
      <c r="E5" t="s" s="9">
        <v>974</v>
      </c>
      <c r="F5" t="s" s="9">
        <v>1016</v>
      </c>
    </row>
    <row r="6" spans="1:26">
      <c r="A6" t="s" s="9">
        <v>1017</v>
      </c>
      <c r="B6" t="s" s="9">
        <v>1018</v>
      </c>
      <c r="C6" t="n" s="36">
        <v>110000.0</v>
      </c>
      <c r="D6" s="35"/>
      <c r="E6" t="s" s="9">
        <v>1019</v>
      </c>
      <c r="F6" t="s" s="9">
        <v>1020</v>
      </c>
    </row>
    <row r="7" spans="1:26">
      <c r="A7" t="s" s="9">
        <v>1021</v>
      </c>
      <c r="B7" t="s" s="9">
        <v>450</v>
      </c>
      <c r="C7" t="n" s="36">
        <v>1.25</v>
      </c>
      <c r="D7" s="35"/>
      <c r="E7" t="s" s="9">
        <v>1022</v>
      </c>
      <c r="F7" t="s" s="9">
        <v>1023</v>
      </c>
    </row>
    <row r="8" spans="1:26">
      <c r="A8" t="s" s="9">
        <v>1024</v>
      </c>
      <c r="B8" t="s" s="9">
        <v>450</v>
      </c>
      <c r="C8" s="34">
        <f>=0.937+2.1*C6/1000000</f>
      </c>
      <c r="D8" s="35"/>
      <c r="E8" t="s" s="9">
        <v>1025</v>
      </c>
      <c r="F8" t="s" s="9">
        <v>1026</v>
      </c>
    </row>
    <row r="9" spans="1:26">
      <c r="A9" t="s" s="9">
        <v>1027</v>
      </c>
      <c r="B9" t="s" s="9">
        <v>450</v>
      </c>
      <c r="C9" s="34">
        <f>=0.087*C8*C7/C5^0.12</f>
      </c>
      <c r="D9" s="35"/>
      <c r="E9" t="s" s="9">
        <v>1028</v>
      </c>
      <c r="F9" t="s" s="9">
        <v>1029</v>
      </c>
    </row>
    <row r="10" spans="1:26">
      <c r="D10"/>
    </row>
    <row r="11" spans="1:26">
      <c r="A11" t="s" s="7">
        <v>1030</v>
      </c>
      <c r="B11" t="s" s="7">
        <v>2</v>
      </c>
      <c r="C11" t="s" s="37">
        <v>520</v>
      </c>
      <c r="D11" s="37"/>
      <c r="E11" t="s" s="7">
        <v>71</v>
      </c>
      <c r="F11" t="s" s="7">
        <v>642</v>
      </c>
    </row>
    <row r="12" spans="1:26">
      <c r="A12" t="s" s="9">
        <v>1031</v>
      </c>
      <c r="B12" t="s" s="9">
        <v>450</v>
      </c>
      <c r="C12" t="n" s="36">
        <v>1.0</v>
      </c>
      <c r="D12" s="35"/>
      <c r="E12" t="s" s="9">
        <v>1032</v>
      </c>
      <c r="F12" t="s" s="9">
        <v>1033</v>
      </c>
    </row>
    <row r="13" spans="1:26">
      <c r="A13" t="s" s="9">
        <v>1034</v>
      </c>
      <c r="B13" t="s" s="9">
        <v>450</v>
      </c>
      <c r="C13" t="n" s="36">
        <v>1.0</v>
      </c>
      <c r="D13" s="35"/>
      <c r="E13" t="s" s="9">
        <v>1035</v>
      </c>
      <c r="F13" t="s" s="9">
        <v>1036</v>
      </c>
    </row>
    <row r="14" spans="1:26">
      <c r="A14" t="s" s="9">
        <v>1037</v>
      </c>
      <c r="B14" t="s" s="9">
        <v>450</v>
      </c>
      <c r="C14" s="34">
        <f>=0.022*C12*C13*(204000+C5)/(79000+C5)</f>
      </c>
      <c r="D14" s="35"/>
      <c r="E14" t="s" s="9">
        <v>1038</v>
      </c>
      <c r="F14" t="s" s="9">
        <v>1039</v>
      </c>
    </row>
    <row r="15" spans="1:26">
      <c r="D15"/>
    </row>
    <row r="16" spans="1:26">
      <c r="A16" t="s" s="7">
        <v>1040</v>
      </c>
      <c r="B16" t="s" s="7">
        <v>2</v>
      </c>
      <c r="C16" t="s" s="37">
        <v>520</v>
      </c>
      <c r="D16" s="37"/>
      <c r="E16" t="s" s="7">
        <v>71</v>
      </c>
      <c r="F16" t="s" s="7">
        <v>642</v>
      </c>
    </row>
    <row r="17" spans="1:26">
      <c r="A17" t="s" s="9">
        <v>1041</v>
      </c>
      <c r="B17" t="s" s="9">
        <v>8</v>
      </c>
      <c r="C17" t="n" s="36">
        <v>86</v>
      </c>
      <c r="D17" s="35"/>
      <c r="E17" t="s" s="9">
        <v>1042</v>
      </c>
      <c r="F17" t="s" s="9">
        <v>1043</v>
      </c>
    </row>
    <row r="18" spans="1:26">
      <c r="A18" t="s" s="9">
        <v>1044</v>
      </c>
      <c r="B18" t="s" s="9">
        <v>450</v>
      </c>
      <c r="C18" s="34">
        <f>=(250+30*C17)/C5+0.06</f>
      </c>
      <c r="D18" s="35"/>
      <c r="E18" t="s" s="9">
        <v>1045</v>
      </c>
      <c r="F18" t="s" s="9">
        <v>1046</v>
      </c>
    </row>
    <row r="19" spans="1:26">
      <c r="D19"/>
    </row>
    <row r="20" spans="1:26">
      <c r="A20" t="s" s="7">
        <v>1047</v>
      </c>
      <c r="B20" t="s" s="7">
        <v>2</v>
      </c>
      <c r="C20" t="s" s="37">
        <v>520</v>
      </c>
      <c r="D20" s="37"/>
      <c r="E20" t="s" s="7">
        <v>71</v>
      </c>
      <c r="F20" t="s" s="7">
        <v>715</v>
      </c>
    </row>
    <row r="21" spans="1:26">
      <c r="A21" t="s" s="9">
        <v>1048</v>
      </c>
      <c r="B21" t="s" s="9">
        <v>41</v>
      </c>
      <c r="C21" t="n" s="36">
        <v>33.5</v>
      </c>
      <c r="D21" s="35"/>
      <c r="E21" t="s" s="9">
        <v>1049</v>
      </c>
      <c r="F21" t="s" s="9">
        <v>1050</v>
      </c>
    </row>
    <row r="22" spans="1:26">
      <c r="A22" t="s" s="9">
        <v>1051</v>
      </c>
      <c r="B22" t="s" s="9">
        <v>41</v>
      </c>
      <c r="C22" t="n" s="36">
        <v>2.69</v>
      </c>
      <c r="D22" s="35"/>
      <c r="E22" t="s" s="9">
        <v>1049</v>
      </c>
      <c r="F22" t="s" s="9">
        <v>1052</v>
      </c>
    </row>
    <row r="23" spans="1:26">
      <c r="A23" t="s" s="9">
        <v>1053</v>
      </c>
      <c r="C23" t="s" s="36">
        <v>1054</v>
      </c>
      <c r="D23" s="35"/>
      <c r="E23" t="s" s="9">
        <v>1056</v>
      </c>
      <c r="F23" t="s" s="9">
        <v>1057</v>
      </c>
    </row>
    <row r="24" spans="1:26">
      <c r="A24" t="s" s="9">
        <v>1058</v>
      </c>
      <c r="B24" t="s" s="9">
        <v>41</v>
      </c>
      <c r="C24" s="36">
        <f>=C22/2</f>
      </c>
      <c r="D24" s="35"/>
      <c r="E24" t="s" s="9">
        <v>1059</v>
      </c>
      <c r="F24" t="s" s="9">
        <v>1060</v>
      </c>
    </row>
    <row r="25" spans="1:26">
      <c r="A25" t="s" s="9">
        <v>1061</v>
      </c>
      <c r="C25" t="s" s="36">
        <v>1062</v>
      </c>
      <c r="D25" s="35"/>
      <c r="E25" t="s" s="9">
        <v>1062</v>
      </c>
      <c r="F25" t="s" s="9">
        <v>1063</v>
      </c>
    </row>
    <row r="26" spans="1:26">
      <c r="A26" t="s" s="9">
        <v>1064</v>
      </c>
      <c r="B26" t="s" s="9">
        <v>446</v>
      </c>
      <c r="C26" s="34">
        <f>=C103</f>
      </c>
      <c r="D26" s="35"/>
      <c r="E26" t="s" s="9">
        <v>1065</v>
      </c>
      <c r="F26" t="s" s="9">
        <v>1066</v>
      </c>
    </row>
    <row r="27" spans="1:26">
      <c r="A27" t="s" s="9">
        <v>1067</v>
      </c>
      <c r="B27" t="s" s="9">
        <v>41</v>
      </c>
      <c r="C27" s="34">
        <f>=C104</f>
      </c>
      <c r="D27" s="35"/>
      <c r="E27" t="s" s="9">
        <v>1068</v>
      </c>
      <c r="F27" t="s" s="9">
        <v>1069</v>
      </c>
    </row>
    <row r="28" spans="1:26">
      <c r="A28" t="s" s="9">
        <v>268</v>
      </c>
      <c r="B28" t="s" s="9">
        <v>450</v>
      </c>
      <c r="C28" t="n" s="36">
        <v>0.0</v>
      </c>
      <c r="D28" s="35"/>
      <c r="E28" t="s" s="9">
        <v>1070</v>
      </c>
      <c r="F28" t="s" s="9">
        <v>1071</v>
      </c>
    </row>
    <row r="29" spans="1:26">
      <c r="A29" t="s" s="9">
        <v>272</v>
      </c>
      <c r="B29" t="s" s="9">
        <v>450</v>
      </c>
      <c r="C29" t="n" s="36">
        <v>0.0</v>
      </c>
      <c r="D29" s="35"/>
      <c r="E29" t="s" s="9">
        <v>1072</v>
      </c>
      <c r="F29" t="s" s="9">
        <v>1071</v>
      </c>
    </row>
    <row r="30" spans="1:26">
      <c r="A30" t="s" s="9">
        <v>1073</v>
      </c>
      <c r="B30" t="s" s="9">
        <v>450</v>
      </c>
      <c r="C30" t="s" s="40">
        <v>1074</v>
      </c>
      <c r="D30" s="35"/>
      <c r="E30" t="s" s="9">
        <v>1075</v>
      </c>
      <c r="F30" t="s" s="9">
        <v>1076</v>
      </c>
    </row>
    <row r="31" spans="1:26">
      <c r="A31" t="s" s="9">
        <v>276</v>
      </c>
      <c r="B31" t="s" s="9">
        <v>450</v>
      </c>
      <c r="C31" t="n" s="36">
        <v>0.0</v>
      </c>
      <c r="D31" s="35"/>
      <c r="E31" t="s" s="9">
        <v>1077</v>
      </c>
      <c r="F31" t="s" s="9">
        <v>1078</v>
      </c>
    </row>
    <row r="32" spans="1:26">
      <c r="A32" t="s" s="9">
        <v>1079</v>
      </c>
      <c r="B32" t="s" s="9">
        <v>450</v>
      </c>
      <c r="C32" t="n" s="36">
        <v>0.743</v>
      </c>
      <c r="D32" s="35"/>
      <c r="E32" t="s" s="9">
        <v>1080</v>
      </c>
      <c r="F32" t="s" s="9">
        <v>1081</v>
      </c>
    </row>
    <row r="33" spans="1:26">
      <c r="A33" t="s" s="9">
        <v>1082</v>
      </c>
      <c r="B33" t="s" s="9">
        <v>450</v>
      </c>
      <c r="C33" s="34">
        <f>=C21/C27</f>
      </c>
      <c r="D33" s="35"/>
      <c r="E33" t="s" s="9">
        <v>1083</v>
      </c>
      <c r="F33" t="s" s="9">
        <v>1084</v>
      </c>
    </row>
    <row r="34" spans="1:26">
      <c r="A34" t="s" s="9">
        <v>1085</v>
      </c>
      <c r="B34" t="s" s="9">
        <v>450</v>
      </c>
      <c r="C34" s="34">
        <f>=4.56-0.441*C27</f>
      </c>
      <c r="D34" s="35"/>
      <c r="E34" t="s" s="9">
        <v>1086</v>
      </c>
      <c r="F34" t="s" s="9">
        <v>1087</v>
      </c>
    </row>
    <row r="35" spans="1:26">
      <c r="A35" t="s" s="9">
        <v>1088</v>
      </c>
      <c r="B35" t="s" s="9">
        <v>450</v>
      </c>
      <c r="C35" s="34">
        <f>=C34*C33*C27^2/C5^C32+C28+C29+C31</f>
      </c>
      <c r="D35" s="35"/>
      <c r="E35" t="s" s="9">
        <v>1089</v>
      </c>
      <c r="F35" t="s" s="9">
        <v>1090</v>
      </c>
    </row>
    <row r="36" spans="1:26">
      <c r="D36"/>
    </row>
    <row r="37" spans="1:26">
      <c r="D37"/>
    </row>
    <row r="38" spans="1:26">
      <c r="D38"/>
    </row>
    <row r="39" spans="1:26">
      <c r="D39"/>
    </row>
    <row r="40" spans="1:26">
      <c r="D40"/>
    </row>
    <row r="41" spans="1:26">
      <c r="D41"/>
    </row>
    <row r="42" spans="1:26">
      <c r="D42"/>
    </row>
    <row r="43" spans="1:26">
      <c r="A43" t="s" s="7">
        <v>1091</v>
      </c>
      <c r="B43" t="s" s="7">
        <v>2</v>
      </c>
      <c r="C43" t="s" s="37">
        <v>520</v>
      </c>
      <c r="D43" s="37"/>
      <c r="E43" t="s" s="7">
        <v>71</v>
      </c>
      <c r="F43" t="s" s="7">
        <v>715</v>
      </c>
    </row>
    <row r="44" spans="1:26">
      <c r="A44" t="s" s="9">
        <v>1092</v>
      </c>
      <c r="B44" t="s" s="9">
        <v>450</v>
      </c>
      <c r="C44" t="n" s="36">
        <v>1.05</v>
      </c>
      <c r="D44" s="35"/>
      <c r="E44" t="s" s="9">
        <v>1093</v>
      </c>
      <c r="F44" t="s" s="9">
        <v>1094</v>
      </c>
    </row>
    <row r="45" spans="1:26">
      <c r="A45" t="s" s="9">
        <v>1095</v>
      </c>
      <c r="B45" t="s" s="9">
        <v>14</v>
      </c>
      <c r="C45" s="34">
        <f>=C5</f>
      </c>
      <c r="D45" s="35"/>
      <c r="E45" t="s" s="9">
        <v>1096</v>
      </c>
      <c r="F45" t="s" s="9">
        <v>1097</v>
      </c>
    </row>
    <row r="46" spans="1:26">
      <c r="A46" t="s" s="9">
        <v>1098</v>
      </c>
      <c r="B46" t="s" s="9">
        <v>450</v>
      </c>
      <c r="C46" s="34">
        <f>=2.1+10890/(4540+C5)</f>
      </c>
      <c r="D46" s="35"/>
      <c r="E46" t="s" s="9">
        <v>1099</v>
      </c>
      <c r="F46" t="s" s="9">
        <v>1100</v>
      </c>
    </row>
    <row r="47" spans="1:26">
      <c r="A47" t="s" s="9">
        <v>1101</v>
      </c>
      <c r="B47" t="s" s="9">
        <v>450</v>
      </c>
      <c r="C47" t="n" s="36">
        <v>2.5</v>
      </c>
      <c r="D47" s="35"/>
      <c r="E47" t="s" s="9">
        <v>1102</v>
      </c>
      <c r="F47" t="s" s="9">
        <v>1103</v>
      </c>
    </row>
    <row r="48" spans="1:26">
      <c r="A48" t="s" s="9">
        <v>1104</v>
      </c>
      <c r="B48" t="s" s="9">
        <v>450</v>
      </c>
      <c r="C48" s="34">
        <f>=1.5*C47</f>
      </c>
      <c r="D48" s="35"/>
      <c r="E48" t="s" s="9">
        <v>1105</v>
      </c>
      <c r="F48" t="s" s="9">
        <v>1106</v>
      </c>
    </row>
    <row r="49" spans="1:26">
      <c r="A49" t="s" s="9">
        <v>1107</v>
      </c>
      <c r="B49" t="s" s="9">
        <v>41</v>
      </c>
      <c r="C49" t="n" s="36">
        <v>4.85</v>
      </c>
      <c r="D49" s="35"/>
      <c r="E49" t="s" s="9">
        <v>28</v>
      </c>
      <c r="F49" t="s" s="9">
        <v>723</v>
      </c>
    </row>
    <row r="50" spans="1:26">
      <c r="A50" t="s" s="9">
        <v>1108</v>
      </c>
      <c r="B50" t="s" s="9">
        <v>41</v>
      </c>
      <c r="C50" t="n" s="36">
        <v>1.89</v>
      </c>
      <c r="D50" s="35"/>
      <c r="E50" t="s" s="9">
        <v>28</v>
      </c>
      <c r="F50" t="s" s="9">
        <v>723</v>
      </c>
    </row>
    <row r="51" spans="1:26">
      <c r="A51" t="s" s="9">
        <v>1109</v>
      </c>
      <c r="B51" t="s" s="9">
        <v>450</v>
      </c>
      <c r="C51" s="34">
        <f>=C49/C50</f>
      </c>
      <c r="D51" s="35"/>
      <c r="E51" t="s" s="9">
        <v>1110</v>
      </c>
      <c r="F51" t="s" s="9">
        <v>1111</v>
      </c>
    </row>
    <row r="52" spans="1:26">
      <c r="A52" t="s" s="9">
        <v>1112</v>
      </c>
      <c r="B52" t="s" s="9">
        <v>450</v>
      </c>
      <c r="C52" t="n" s="36">
        <v>1.4</v>
      </c>
      <c r="D52" s="35"/>
      <c r="E52" t="s" s="9">
        <v>1113</v>
      </c>
      <c r="F52" t="s" s="9">
        <v>1114</v>
      </c>
    </row>
    <row r="53" spans="1:26">
      <c r="A53" t="s" s="9">
        <v>1115</v>
      </c>
      <c r="B53" t="s" s="9">
        <v>450</v>
      </c>
      <c r="C53" t="n" s="36">
        <v>1.0</v>
      </c>
      <c r="D53" s="35"/>
      <c r="E53" t="s" s="9">
        <v>1116</v>
      </c>
      <c r="F53" t="s" s="9">
        <v>1117</v>
      </c>
    </row>
    <row r="54" spans="1:26">
      <c r="A54" t="s" s="9">
        <v>1118</v>
      </c>
      <c r="B54" t="s" s="9">
        <v>450</v>
      </c>
      <c r="C54" t="s" s="40">
        <v>101</v>
      </c>
      <c r="D54" s="40"/>
      <c r="E54" t="s" s="9">
        <v>1119</v>
      </c>
      <c r="F54" t="s" s="9">
        <v>1120</v>
      </c>
    </row>
    <row r="55" spans="1:26">
      <c r="A55" t="s" s="9">
        <v>1121</v>
      </c>
      <c r="B55" t="s" s="9">
        <v>450</v>
      </c>
      <c r="C55" t="s" s="40">
        <v>101</v>
      </c>
      <c r="D55" s="40"/>
      <c r="E55" t="s" s="9">
        <v>1122</v>
      </c>
      <c r="F55" t="s" s="9">
        <v>1123</v>
      </c>
    </row>
    <row r="56" spans="1:26">
      <c r="A56" t="s" s="9">
        <v>1124</v>
      </c>
      <c r="B56" t="s" s="9">
        <v>450</v>
      </c>
      <c r="C56" t="n" s="36">
        <v>0.0</v>
      </c>
      <c r="D56" s="35"/>
      <c r="E56" t="s" s="9">
        <v>1125</v>
      </c>
      <c r="F56" t="s" s="9">
        <v>1126</v>
      </c>
    </row>
    <row r="57" spans="1:26">
      <c r="A57" t="s" s="9">
        <v>1127</v>
      </c>
      <c r="B57" t="s" s="9">
        <v>450</v>
      </c>
      <c r="C57" s="34">
        <f>=0.92-0.5*2*0.5*06_Масса_I!C34-0.1*C56</f>
      </c>
      <c r="D57" s="35"/>
      <c r="E57" t="s" s="9">
        <v>1128</v>
      </c>
      <c r="F57" t="s" s="9">
        <v>1129</v>
      </c>
    </row>
    <row r="58" spans="1:26">
      <c r="A58" t="s" s="7">
        <v>1130</v>
      </c>
      <c r="B58" t="s" s="7">
        <v>2</v>
      </c>
      <c r="C58" t="s" s="37">
        <v>520</v>
      </c>
      <c r="D58" s="37"/>
      <c r="E58" t="s" s="7">
        <v>71</v>
      </c>
      <c r="F58" t="s" s="7">
        <v>715</v>
      </c>
    </row>
    <row r="59" spans="1:26">
      <c r="A59" t="s" s="9">
        <v>1131</v>
      </c>
      <c r="B59" t="s" s="9">
        <v>1132</v>
      </c>
      <c r="C59" t="n" s="36">
        <v>2450.0</v>
      </c>
      <c r="D59" s="35"/>
      <c r="E59" t="s" s="9">
        <v>738</v>
      </c>
      <c r="F59" t="s" s="9">
        <v>1133</v>
      </c>
    </row>
    <row r="60" spans="1:26">
      <c r="A60" t="s" s="9">
        <v>1134</v>
      </c>
      <c r="B60" t="s" s="9">
        <v>1135</v>
      </c>
      <c r="C60" t="n" s="36">
        <v>14500.0</v>
      </c>
      <c r="D60" s="35"/>
      <c r="E60" t="s" s="9">
        <v>738</v>
      </c>
      <c r="F60" t="s" s="9">
        <v>1136</v>
      </c>
    </row>
    <row r="61" spans="1:26">
      <c r="A61" t="s" s="9">
        <v>1137</v>
      </c>
      <c r="B61" t="s" s="9">
        <v>450</v>
      </c>
      <c r="C61" s="34">
        <f>=C59/C60</f>
      </c>
      <c r="D61" s="35"/>
      <c r="E61" t="s" s="9">
        <v>1138</v>
      </c>
      <c r="F61" t="s" s="9">
        <v>1139</v>
      </c>
    </row>
    <row r="62" spans="1:26">
      <c r="D62"/>
    </row>
    <row r="63" spans="1:26">
      <c r="A63" t="s" s="9">
        <v>1140</v>
      </c>
      <c r="B63" t="s" s="9">
        <v>834</v>
      </c>
      <c r="C63" s="34">
        <f>='07_p0_P0'!C40</f>
      </c>
      <c r="D63" s="35"/>
      <c r="E63" t="s" s="9">
        <v>1141</v>
      </c>
      <c r="F63" t="s" s="9">
        <v>1142</v>
      </c>
    </row>
    <row r="64" spans="1:26">
      <c r="A64" t="s" s="9">
        <v>1143</v>
      </c>
      <c r="B64" t="s" s="9">
        <v>14</v>
      </c>
      <c r="C64" s="34">
        <f>=C5</f>
      </c>
      <c r="D64" s="35"/>
      <c r="E64" t="s" s="9">
        <v>1096</v>
      </c>
      <c r="F64" t="s" s="9">
        <v>1144</v>
      </c>
    </row>
    <row r="65" spans="1:26">
      <c r="A65" t="s" s="9">
        <v>814</v>
      </c>
      <c r="B65" t="s" s="9">
        <v>815</v>
      </c>
      <c r="C65" t="n" s="36">
        <v>9.8</v>
      </c>
      <c r="D65" s="35"/>
      <c r="E65" t="s" s="9">
        <v>1145</v>
      </c>
      <c r="F65" t="s" s="9">
        <v>1146</v>
      </c>
    </row>
    <row r="66" spans="1:26">
      <c r="A66" t="s" s="9">
        <v>1147</v>
      </c>
      <c r="B66" t="s" s="9">
        <v>450</v>
      </c>
      <c r="C66" t="n" s="36">
        <v>2.0</v>
      </c>
      <c r="D66" s="35"/>
      <c r="E66" t="s" s="9">
        <v>28</v>
      </c>
      <c r="F66" t="s" s="9">
        <v>1148</v>
      </c>
    </row>
    <row r="67" spans="1:26">
      <c r="A67" t="s" s="9">
        <v>1149</v>
      </c>
      <c r="B67" t="s" s="9">
        <v>450</v>
      </c>
      <c r="C67" t="n" s="36">
        <v>28.5</v>
      </c>
      <c r="D67" s="35"/>
      <c r="E67" t="s" s="9">
        <v>738</v>
      </c>
      <c r="F67" t="s" s="9">
        <v>1150</v>
      </c>
    </row>
    <row r="68" spans="1:26">
      <c r="A68" t="s" s="9">
        <v>555</v>
      </c>
      <c r="B68" t="s" s="9">
        <v>450</v>
      </c>
      <c r="C68" t="n" s="36">
        <v>5.0</v>
      </c>
      <c r="D68" s="35"/>
      <c r="E68" t="s" s="9">
        <v>738</v>
      </c>
      <c r="F68" t="s" s="9">
        <v>1151</v>
      </c>
    </row>
    <row r="69" spans="1:26">
      <c r="A69" t="s" s="9">
        <v>1152</v>
      </c>
      <c r="B69" t="s" s="9">
        <v>450</v>
      </c>
      <c r="C69" t="n" s="36">
        <v>1.0</v>
      </c>
      <c r="D69" s="35"/>
      <c r="E69" t="s" s="9">
        <v>1153</v>
      </c>
      <c r="F69" t="s" s="9">
        <v>1154</v>
      </c>
    </row>
    <row r="70" spans="1:26">
      <c r="A70" t="s" s="9">
        <v>1155</v>
      </c>
      <c r="B70" t="s" s="9">
        <v>450</v>
      </c>
      <c r="C70" t="n" s="36">
        <v>0.0236</v>
      </c>
      <c r="D70" s="35"/>
      <c r="E70" t="s" s="9">
        <v>1156</v>
      </c>
      <c r="F70" t="s" s="9">
        <v>1157</v>
      </c>
    </row>
    <row r="71" spans="1:26">
      <c r="A71" t="s" s="9">
        <v>1158</v>
      </c>
      <c r="B71" t="s" s="9">
        <v>450</v>
      </c>
      <c r="C71" t="n" s="36">
        <v>1.0</v>
      </c>
      <c r="D71" s="35"/>
      <c r="E71" t="s" s="9">
        <v>1159</v>
      </c>
      <c r="F71" t="s" s="9">
        <v>1160</v>
      </c>
    </row>
    <row r="72" spans="1:26">
      <c r="A72" t="s" s="9">
        <v>1161</v>
      </c>
      <c r="B72" t="s" s="9">
        <v>450</v>
      </c>
      <c r="C72" t="n" s="36">
        <v>2.0</v>
      </c>
      <c r="D72" s="35"/>
      <c r="E72" t="s" s="9">
        <v>1162</v>
      </c>
      <c r="F72" t="s" s="9">
        <v>1163</v>
      </c>
    </row>
    <row r="73" spans="1:26">
      <c r="D73"/>
    </row>
    <row r="74" spans="1:26">
      <c r="A74" t="s" s="9">
        <v>1164</v>
      </c>
      <c r="B74" t="s" s="9">
        <v>990</v>
      </c>
      <c r="C74" s="34">
        <f>=C63*C64*C65/9.8</f>
      </c>
      <c r="D74" s="35"/>
      <c r="E74" t="s" s="9">
        <v>991</v>
      </c>
      <c r="F74" t="s" s="9">
        <v>1165</v>
      </c>
    </row>
    <row r="75" spans="1:26">
      <c r="A75" t="s" s="9">
        <v>1166</v>
      </c>
      <c r="B75" t="s" s="9">
        <v>990</v>
      </c>
      <c r="C75" s="34">
        <f>=C74/C66</f>
      </c>
      <c r="D75" s="35"/>
      <c r="E75" t="s" s="9">
        <v>1167</v>
      </c>
      <c r="F75" t="s" s="9">
        <v>1168</v>
      </c>
    </row>
    <row r="76" spans="1:26">
      <c r="A76" t="s" s="9">
        <v>1169</v>
      </c>
      <c r="B76" t="s" s="9">
        <v>450</v>
      </c>
      <c r="C76" s="34">
        <f>=SQRT(C75*(1.69+1.4*(C67-3)))/(10000*(1+C68^2)^0.75)+100/C75+0.05*C68^(1/3)+0.06</f>
      </c>
      <c r="D76" s="35"/>
      <c r="E76" t="s" s="9">
        <v>1170</v>
      </c>
      <c r="F76" t="s" s="9">
        <v>1171</v>
      </c>
    </row>
    <row r="77" spans="1:26">
      <c r="A77" t="s" s="9">
        <v>1172</v>
      </c>
      <c r="B77" t="s" s="9">
        <v>660</v>
      </c>
      <c r="C77" s="34">
        <f>=(C76-C61)/C61</f>
      </c>
      <c r="D77" s="35"/>
      <c r="E77" t="s" s="9">
        <v>1173</v>
      </c>
      <c r="F77" t="s" s="9">
        <v>1174</v>
      </c>
    </row>
    <row r="78" spans="1:26">
      <c r="A78" t="s" s="9">
        <v>1175</v>
      </c>
      <c r="B78" t="s" s="9">
        <v>450</v>
      </c>
      <c r="C78" s="34">
        <f>=C69*(1+0.1*C72/C66)*(C71+C70/C76*(1.62+0.275*C68^0.75)^2)</f>
      </c>
      <c r="D78" s="35"/>
      <c r="E78" t="s" s="9">
        <v>1176</v>
      </c>
      <c r="F78" t="s" s="9">
        <v>1168</v>
      </c>
    </row>
    <row r="79" spans="1:26">
      <c r="A79" t="s" s="9">
        <v>1177</v>
      </c>
      <c r="B79" t="s" s="9">
        <v>450</v>
      </c>
      <c r="C79" s="34">
        <f>=C78*C76*C63</f>
      </c>
      <c r="D79" s="35"/>
      <c r="E79" t="s" s="9">
        <v>1178</v>
      </c>
      <c r="F79" t="s" s="9">
        <v>1179</v>
      </c>
    </row>
    <row r="80" spans="1:26">
      <c r="D80"/>
    </row>
    <row r="81" spans="1:26">
      <c r="A81" t="s" s="7">
        <v>1180</v>
      </c>
      <c r="B81" t="s" s="7">
        <v>2</v>
      </c>
      <c r="C81" t="s" s="37">
        <v>54</v>
      </c>
      <c r="D81" s="37"/>
      <c r="E81" t="s" s="7">
        <v>71</v>
      </c>
      <c r="F81" t="s" s="7">
        <v>715</v>
      </c>
    </row>
    <row r="82" spans="1:26">
      <c r="A82" t="s" s="9">
        <v>1181</v>
      </c>
      <c r="B82" t="s" s="9">
        <v>450</v>
      </c>
      <c r="C82" s="34">
        <f>=C69*(1+0.1*C72/C66)*(C71+C70/C61*(1.62+0.275*C68^0.75)^2)</f>
      </c>
      <c r="D82" s="35"/>
      <c r="E82" t="s" s="9">
        <v>1176</v>
      </c>
      <c r="F82" t="s" s="9">
        <v>1182</v>
      </c>
    </row>
    <row r="83" spans="1:26">
      <c r="A83" t="s" s="9">
        <v>1183</v>
      </c>
      <c r="B83" t="s" s="9">
        <v>450</v>
      </c>
      <c r="C83" s="34">
        <f>=C82*C61*C63</f>
      </c>
      <c r="D83" s="35"/>
      <c r="E83" t="s" s="9">
        <v>1178</v>
      </c>
      <c r="F83" t="s" s="9">
        <v>1184</v>
      </c>
    </row>
    <row r="84" spans="1:26">
      <c r="A84" t="s" s="9">
        <v>1185</v>
      </c>
      <c r="B84" t="s" s="9">
        <v>660</v>
      </c>
      <c r="C84" s="34">
        <f>=(C83-C79)/C79</f>
      </c>
      <c r="D84" s="35"/>
      <c r="E84" t="s" s="9">
        <v>1186</v>
      </c>
      <c r="F84" t="s" s="9">
        <v>1187</v>
      </c>
    </row>
    <row r="87" spans="1:26">
      <c r="A87" t="s" s="7">
        <v>1188</v>
      </c>
      <c r="B87" t="s" s="7">
        <v>521</v>
      </c>
      <c r="C87" t="s" s="7">
        <v>1189</v>
      </c>
      <c r="D87" t="s" s="7">
        <v>1190</v>
      </c>
      <c r="E87" t="s" s="7">
        <v>54</v>
      </c>
      <c r="F87" t="s" s="7">
        <v>877</v>
      </c>
    </row>
    <row r="88" spans="1:26">
      <c r="A88" t="s" s="9">
        <v>196</v>
      </c>
      <c r="B88" t="s" s="11">
        <v>1191</v>
      </c>
      <c r="C88" t="s" s="9">
        <v>1192</v>
      </c>
      <c r="D88" t="s" s="9">
        <v>1193</v>
      </c>
      <c r="E88" t="s" s="9">
        <v>1194</v>
      </c>
      <c r="F88" t="s" s="9">
        <v>1195</v>
      </c>
    </row>
    <row r="89" spans="1:26">
      <c r="A89" t="s" s="9">
        <v>198</v>
      </c>
      <c r="B89" t="s" s="15">
        <v>1196</v>
      </c>
      <c r="C89" t="s" s="9">
        <v>1197</v>
      </c>
      <c r="D89" t="s" s="9">
        <v>1198</v>
      </c>
      <c r="E89" t="s" s="9">
        <v>1199</v>
      </c>
      <c r="F89" t="s" s="9">
        <v>1200</v>
      </c>
    </row>
    <row r="90" spans="1:26">
      <c r="A90" t="s" s="9">
        <v>207</v>
      </c>
      <c r="B90" t="s" s="15">
        <v>1201</v>
      </c>
      <c r="C90" t="s" s="9">
        <v>1202</v>
      </c>
      <c r="D90" t="s" s="9">
        <v>1203</v>
      </c>
      <c r="E90" t="s" s="9">
        <v>1204</v>
      </c>
      <c r="F90" t="s" s="9">
        <v>1205</v>
      </c>
    </row>
    <row r="91" spans="1:26">
      <c r="A91" t="s" s="9">
        <v>194</v>
      </c>
      <c r="B91" t="s" s="11">
        <v>101</v>
      </c>
      <c r="C91" t="s" s="9">
        <v>1206</v>
      </c>
      <c r="D91" t="s" s="9">
        <v>1207</v>
      </c>
      <c r="E91" t="s" s="9">
        <v>1208</v>
      </c>
      <c r="F91" t="s" s="9">
        <v>1209</v>
      </c>
    </row>
    <row r="92" spans="1:26">
      <c r="A92" t="s" s="9">
        <v>1210</v>
      </c>
      <c r="B92" t="s" s="11">
        <v>101</v>
      </c>
      <c r="C92" t="s" s="9">
        <v>1211</v>
      </c>
      <c r="D92" t="s" s="9">
        <v>1212</v>
      </c>
      <c r="E92" t="s" s="9">
        <v>1213</v>
      </c>
      <c r="F92" t="s" s="9">
        <v>1214</v>
      </c>
    </row>
    <row r="94" spans="1:26">
      <c r="A94" t="s" s="7">
        <v>1215</v>
      </c>
      <c r="B94" t="s" s="7">
        <v>2</v>
      </c>
      <c r="C94" t="s" s="7">
        <v>520</v>
      </c>
      <c r="D94" s="7"/>
      <c r="E94" t="s" s="7">
        <v>6</v>
      </c>
      <c r="F94" t="s" s="7">
        <v>642</v>
      </c>
    </row>
    <row r="95" spans="1:26">
      <c r="A95" t="s" s="9">
        <v>1216</v>
      </c>
      <c r="C95" t="s" s="9">
        <v>1054</v>
      </c>
      <c r="D95" s="9"/>
      <c r="E95" t="s" s="9">
        <v>1218</v>
      </c>
      <c r="F95" t="s" s="9">
        <v>1219</v>
      </c>
    </row>
    <row r="96" spans="1:26">
      <c r="A96" t="s" s="9">
        <v>1220</v>
      </c>
      <c r="B96" t="s" s="9">
        <v>41</v>
      </c>
      <c r="C96" s="11">
        <f>=C22</f>
      </c>
      <c r="D96" s="15"/>
      <c r="E96" t="s" s="9">
        <v>1221</v>
      </c>
      <c r="F96" t="s" s="9">
        <v>1222</v>
      </c>
    </row>
    <row r="97" spans="1:26">
      <c r="A97" t="s" s="9">
        <v>1058</v>
      </c>
      <c r="B97" t="s" s="9">
        <v>41</v>
      </c>
      <c r="C97" s="11">
        <f>=C96/2</f>
      </c>
      <c r="D97" s="15"/>
      <c r="E97" t="s" s="9">
        <v>1059</v>
      </c>
      <c r="F97" t="s" s="9">
        <v>1060</v>
      </c>
    </row>
    <row r="98" spans="1:26">
      <c r="A98" t="s" s="9">
        <v>1223</v>
      </c>
      <c r="B98" t="s" s="9">
        <v>446</v>
      </c>
      <c r="C98" s="11">
        <f>=PI()*C96^2/4</f>
      </c>
      <c r="D98" s="15"/>
      <c r="E98" t="s" s="9">
        <v>1065</v>
      </c>
      <c r="F98" t="s" s="9">
        <v>1060</v>
      </c>
    </row>
    <row r="99" spans="1:26">
      <c r="A99" t="s" s="9">
        <v>79</v>
      </c>
      <c r="C99" t="s" s="9">
        <v>1062</v>
      </c>
      <c r="D99" s="9"/>
      <c r="F99" t="s" s="9">
        <v>1224</v>
      </c>
    </row>
    <row r="100" spans="1:26">
      <c r="A100" t="s" s="9">
        <v>79</v>
      </c>
      <c r="C100" t="s" s="9">
        <v>1062</v>
      </c>
      <c r="D100" s="9"/>
      <c r="F100" t="s" s="9">
        <v>1224</v>
      </c>
    </row>
    <row r="101" spans="1:26">
      <c r="A101" t="s" s="9">
        <v>79</v>
      </c>
      <c r="C101" t="s" s="9">
        <v>1062</v>
      </c>
      <c r="D101" s="9"/>
      <c r="F101" t="s" s="9">
        <v>1224</v>
      </c>
    </row>
    <row r="102" spans="1:26">
      <c r="A102" t="s" s="9">
        <v>79</v>
      </c>
      <c r="C102" t="s" s="9">
        <v>1062</v>
      </c>
      <c r="D102" s="9"/>
      <c r="F102" t="s" s="9">
        <v>1224</v>
      </c>
    </row>
    <row r="103" spans="1:26">
      <c r="A103" t="s" s="9">
        <v>1064</v>
      </c>
      <c r="B103" t="s" s="9">
        <v>446</v>
      </c>
      <c r="C103" s="11">
        <f>=PI()*C104^2/4</f>
      </c>
      <c r="D103" s="15"/>
      <c r="E103" t="s" s="9">
        <v>1065</v>
      </c>
      <c r="F103" t="s" s="9">
        <v>1225</v>
      </c>
    </row>
    <row r="104" spans="1:26">
      <c r="A104" t="s" s="9">
        <v>1067</v>
      </c>
      <c r="B104" t="s" s="9">
        <v>41</v>
      </c>
      <c r="C104" s="11">
        <f>=C22</f>
      </c>
      <c r="D104" s="15"/>
      <c r="E104" t="s" s="9">
        <v>1221</v>
      </c>
      <c r="F104" t="s" s="9">
        <v>1226</v>
      </c>
    </row>
    <row r="105" spans="1:26">
      <c r="A105" t="s" s="9">
        <v>1227</v>
      </c>
      <c r="C105" t="s" s="9">
        <v>1062</v>
      </c>
      <c r="D105" s="9"/>
      <c r="E105" t="s" s="9">
        <v>1228</v>
      </c>
      <c r="F105" t="s" s="9">
        <v>1229</v>
      </c>
    </row>
    <row r="106" spans="1:26">
      <c r="D106"/>
    </row>
    <row r="107" spans="1:26">
      <c r="D107"/>
    </row>
    <row r="108" spans="1:26">
      <c r="A108" t="s" s="7">
        <v>1230</v>
      </c>
      <c r="B108" t="s" s="7">
        <v>2</v>
      </c>
      <c r="C108" t="s" s="7">
        <v>520</v>
      </c>
      <c r="D108" s="7"/>
      <c r="E108" t="s" s="7">
        <v>71</v>
      </c>
      <c r="F108" t="s" s="7">
        <v>715</v>
      </c>
    </row>
    <row r="109" spans="1:26">
      <c r="A109" t="s" s="9">
        <v>1231</v>
      </c>
      <c r="B109" t="s" s="9">
        <v>450</v>
      </c>
      <c r="C109" t="n" s="36">
        <v>1.0</v>
      </c>
      <c r="D109" s="35"/>
      <c r="E109" t="s" s="9">
        <v>1232</v>
      </c>
      <c r="F109" t="s" s="9">
        <v>1233</v>
      </c>
    </row>
    <row r="110" spans="1:26">
      <c r="A110" t="s" s="9">
        <v>1234</v>
      </c>
      <c r="B110" t="s" s="9">
        <v>450</v>
      </c>
      <c r="C110" t="n" s="40">
        <v>1.0</v>
      </c>
      <c r="D110" s="35"/>
      <c r="E110" t="s" s="9">
        <v>1235</v>
      </c>
      <c r="F110" t="s" s="9">
        <v>1236</v>
      </c>
    </row>
    <row r="111" spans="1:26">
      <c r="A111" t="s" s="9">
        <v>1237</v>
      </c>
      <c r="B111" t="s" s="9">
        <v>450</v>
      </c>
      <c r="C111" t="n" s="36">
        <v>1.066</v>
      </c>
      <c r="D111" s="35"/>
      <c r="E111" t="s" s="9">
        <v>1238</v>
      </c>
      <c r="F111" t="s" s="9">
        <v>1239</v>
      </c>
    </row>
    <row r="112" spans="1:26">
      <c r="A112" t="s" s="9">
        <v>1240</v>
      </c>
      <c r="B112" t="s" s="9">
        <v>450</v>
      </c>
      <c r="C112" t="n" s="36">
        <v>0.0</v>
      </c>
      <c r="D112" s="35"/>
      <c r="E112" t="s" s="9">
        <v>1238</v>
      </c>
      <c r="F112" t="s" s="9">
        <v>1241</v>
      </c>
    </row>
    <row r="113" spans="1:26">
      <c r="A113" t="s" s="9">
        <v>1242</v>
      </c>
      <c r="B113" t="s" s="9">
        <v>1243</v>
      </c>
      <c r="C113" t="n" s="36">
        <v>80000.0</v>
      </c>
      <c r="D113" s="35"/>
      <c r="E113" t="s" s="9">
        <v>1019</v>
      </c>
      <c r="F113" t="s" s="9">
        <v>1244</v>
      </c>
    </row>
    <row r="114" spans="1:26">
      <c r="A114" t="s" s="9">
        <v>1245</v>
      </c>
      <c r="B114" t="s" s="9">
        <v>450</v>
      </c>
      <c r="C114" s="36"/>
      <c r="D114" s="35"/>
      <c r="E114" t="s" s="9">
        <v>1246</v>
      </c>
      <c r="F114" t="s" s="9">
        <v>1247</v>
      </c>
    </row>
    <row r="115" spans="1:26">
      <c r="A115" t="s" s="9">
        <v>1248</v>
      </c>
      <c r="B115" t="s" s="9">
        <v>1249</v>
      </c>
      <c r="C115" t="n" s="36">
        <v>28.0</v>
      </c>
      <c r="D115" s="35"/>
      <c r="E115" t="s" s="9">
        <v>1250</v>
      </c>
      <c r="F115" t="s" s="9">
        <v>1251</v>
      </c>
    </row>
    <row r="116" spans="1:26">
      <c r="A116" t="s" s="9">
        <v>1252</v>
      </c>
      <c r="B116" t="s" s="9">
        <v>450</v>
      </c>
      <c r="C116" t="n" s="36">
        <v>8.688933445898412</v>
      </c>
      <c r="D116" s="35"/>
      <c r="E116" t="s" s="9">
        <v>28</v>
      </c>
      <c r="F116" t="s" s="9">
        <v>1253</v>
      </c>
    </row>
    <row r="117" spans="1:26">
      <c r="A117" t="s" s="9">
        <v>1254</v>
      </c>
      <c r="B117" t="s" s="9">
        <v>450</v>
      </c>
      <c r="C117" t="n" s="36">
        <v>2.566137566137566</v>
      </c>
      <c r="D117" s="35"/>
      <c r="E117" t="s" s="9">
        <v>1255</v>
      </c>
      <c r="F117" t="s" s="9">
        <v>1256</v>
      </c>
    </row>
    <row r="118" spans="1:26">
      <c r="A118" t="s" s="9">
        <v>1257</v>
      </c>
      <c r="B118" t="s" s="9">
        <v>450</v>
      </c>
      <c r="C118" s="34">
        <f>=0.91-0.83*06_Масса_I!C34-0.04*C112</f>
      </c>
      <c r="D118" s="35"/>
      <c r="E118" t="s" s="9">
        <v>1258</v>
      </c>
      <c r="F118" t="s" s="9">
        <v>1259</v>
      </c>
    </row>
    <row r="119" spans="1:26">
      <c r="A119" t="s" s="9">
        <v>1260</v>
      </c>
      <c r="B119" t="s" s="9">
        <v>450</v>
      </c>
      <c r="C119" t="n" s="36">
        <v>2.15</v>
      </c>
      <c r="D119" s="35"/>
      <c r="E119" t="s" s="9">
        <v>1238</v>
      </c>
      <c r="F119" t="s" s="9">
        <v>1261</v>
      </c>
    </row>
    <row r="120" spans="1:26">
      <c r="A120" t="s" s="9">
        <v>1262</v>
      </c>
      <c r="B120" t="s" s="9">
        <v>450</v>
      </c>
      <c r="C120" t="n" s="36">
        <v>0.00079</v>
      </c>
      <c r="D120" s="35"/>
      <c r="E120" t="s" s="9">
        <v>1238</v>
      </c>
      <c r="F120" t="s" s="9">
        <v>1261</v>
      </c>
    </row>
    <row r="121" spans="1:26">
      <c r="A121" t="s" s="9">
        <v>1266</v>
      </c>
      <c r="B121" t="s" s="9">
        <v>450</v>
      </c>
      <c r="C121" s="34">
        <f>=(C119+C120*SQRT(C5))/07_p0_P0!C62</f>
      </c>
      <c r="D121" s="35"/>
      <c r="E121" t="s" s="9">
        <v>1267</v>
      </c>
      <c r="F121" t="s" s="9">
        <v>1268</v>
      </c>
    </row>
    <row r="122" spans="1:26">
      <c r="A122" t="s" s="9">
        <v>1263</v>
      </c>
      <c r="B122" t="s" s="9">
        <v>450</v>
      </c>
      <c r="C122" t="n" s="36">
        <v>7.6</v>
      </c>
      <c r="D122" s="35"/>
      <c r="E122" t="s" s="9">
        <v>1238</v>
      </c>
      <c r="F122" t="s" s="9">
        <v>1264</v>
      </c>
    </row>
    <row r="123" spans="1:26">
      <c r="A123" t="s" s="9">
        <v>1265</v>
      </c>
      <c r="B123" t="s" s="9">
        <v>450</v>
      </c>
      <c r="C123" t="n" s="36">
        <v>0.00203</v>
      </c>
      <c r="D123" s="35"/>
      <c r="E123" t="s" s="9">
        <v>1238</v>
      </c>
      <c r="F123" t="s" s="9">
        <v>1264</v>
      </c>
    </row>
    <row r="124" spans="1:26">
      <c r="A124" t="s" s="9">
        <v>1269</v>
      </c>
      <c r="B124" t="s" s="9">
        <v>450</v>
      </c>
      <c r="C124" s="34">
        <f>=(C122+C123*SQRT(C5))/07_p0_P0!C62</f>
      </c>
      <c r="D124" s="35"/>
      <c r="E124" t="s" s="9">
        <v>1270</v>
      </c>
      <c r="F124" t="s" s="9">
        <v>1264</v>
      </c>
    </row>
    <row r="125" spans="1:26">
      <c r="A125" t="s" s="9">
        <v>1271</v>
      </c>
      <c r="B125" t="s" s="9">
        <v>860</v>
      </c>
      <c r="C125" t="n" s="36">
        <v>0.0</v>
      </c>
      <c r="D125" s="35"/>
      <c r="E125" t="s" s="9">
        <v>1272</v>
      </c>
      <c r="F125" t="s" s="9">
        <v>1273</v>
      </c>
    </row>
    <row r="126" spans="1:26">
      <c r="A126" t="s" s="9">
        <v>1274</v>
      </c>
      <c r="B126" t="s" s="9">
        <v>860</v>
      </c>
      <c r="C126" t="n" s="36">
        <v>2.0</v>
      </c>
      <c r="D126" s="35"/>
      <c r="E126" t="s" s="9">
        <v>1272</v>
      </c>
      <c r="F126" t="s" s="9">
        <v>1273</v>
      </c>
    </row>
    <row r="127" spans="1:26">
      <c r="A127" t="s" s="9">
        <v>1275</v>
      </c>
      <c r="B127" t="s" s="9">
        <v>860</v>
      </c>
      <c r="C127" t="n" s="36">
        <v>2.0</v>
      </c>
      <c r="D127" s="35"/>
      <c r="E127" t="s" s="9">
        <v>1272</v>
      </c>
      <c r="F127" t="s" s="9">
        <v>1273</v>
      </c>
    </row>
    <row r="128" spans="1:26">
      <c r="A128" t="s" s="9">
        <v>1276</v>
      </c>
      <c r="B128" t="s" s="9">
        <v>860</v>
      </c>
      <c r="C128" t="n" s="36">
        <v>0.0</v>
      </c>
      <c r="D128" s="35"/>
      <c r="E128" t="s" s="9">
        <v>1272</v>
      </c>
      <c r="F128" t="s" s="9">
        <v>1273</v>
      </c>
    </row>
    <row r="129" spans="1:26">
      <c r="A129" t="s" s="9">
        <v>1277</v>
      </c>
      <c r="B129" t="s" s="9">
        <v>450</v>
      </c>
      <c r="C129" s="34">
        <f>=0.0022*C125/(C125+C126)+0.009*C127/(C127+C128)</f>
      </c>
      <c r="D129" s="35"/>
      <c r="E129" t="s" s="9">
        <v>1278</v>
      </c>
      <c r="F129" t="s" s="9">
        <v>1279</v>
      </c>
    </row>
    <row r="130" spans="1:26">
      <c r="A130" t="s" s="9">
        <v>1280</v>
      </c>
      <c r="B130" t="s" s="9">
        <v>450</v>
      </c>
      <c r="C130" s="11">
        <f>=IF(C114="","",1.86e-6*SQRT(C5/07_p0_P0!C62)*C110*C111*C118*C116^1.5/(C114*COS(C115*PI()/180))*(C117+1)/C117*C113^0.25)</f>
      </c>
      <c r="D130" s="15"/>
      <c r="E130" t="s" s="9">
        <v>1281</v>
      </c>
      <c r="F130" t="s" s="9">
        <v>1282</v>
      </c>
    </row>
    <row r="131" spans="1:26">
      <c r="A131" t="s" s="9">
        <v>1283</v>
      </c>
      <c r="B131" t="s" s="9">
        <v>450</v>
      </c>
      <c r="C131" s="11">
        <f>=IF(C130="","",C109*(C130+C121+C124+C129))</f>
      </c>
      <c r="D131" s="15"/>
      <c r="E131" t="s" s="9">
        <v>1232</v>
      </c>
      <c r="F131" t="s" s="9">
        <v>1284</v>
      </c>
    </row>
    <row r="132" spans="1:26">
      <c r="A132" t="s" s="9">
        <v>1285</v>
      </c>
      <c r="B132" t="s" s="9">
        <v>450</v>
      </c>
      <c r="C132" t="s" s="9">
        <v>1191</v>
      </c>
      <c r="D132" s="15"/>
      <c r="E132" t="s" s="9">
        <v>1286</v>
      </c>
      <c r="F132" t="s" s="9">
        <v>1287</v>
      </c>
    </row>
    <row r="134" spans="1:26">
      <c r="A134" t="s" s="7">
        <v>1288</v>
      </c>
      <c r="B134" t="s" s="7">
        <v>1289</v>
      </c>
      <c r="C134" t="s" s="7">
        <v>1290</v>
      </c>
      <c r="D134" s="7"/>
      <c r="E134" s="7"/>
      <c r="F134" t="s" s="7">
        <v>642</v>
      </c>
    </row>
    <row r="135" spans="1:26">
      <c r="A135" t="n" s="36">
        <v>0.08</v>
      </c>
      <c r="B135" s="34">
        <f>=1.86e-6*SQRT(C5/07_p0_P0!C62)*C110*C111*C118*C116^1.5/(A135*COS(C115*PI()/180))*(C117+1)/C117*C113^0.25</f>
      </c>
      <c r="C135" s="34">
        <f>=C109*(B135+C121+C124+C129)</f>
      </c>
      <c r="D135" s="35"/>
      <c r="E135" s="35"/>
      <c r="F135" t="s" s="9">
        <v>1293</v>
      </c>
    </row>
    <row r="136" spans="1:26">
      <c r="A136" t="n" s="36">
        <v>0.1</v>
      </c>
      <c r="B136" s="34">
        <f>=1.86e-6*SQRT(C5/07_p0_P0!C62)*C110*C111*C118*C116^1.5/(A136*COS(C115*PI()/180))*(C117+1)/C117*C113^0.25</f>
      </c>
      <c r="C136" s="34">
        <f>=C109*(B136+C121+C124+C129)</f>
      </c>
      <c r="D136" s="35"/>
      <c r="E136" s="35"/>
      <c r="F136" t="s" s="9">
        <v>1293</v>
      </c>
    </row>
    <row r="137" spans="1:26">
      <c r="A137" t="n" s="36">
        <v>0.12</v>
      </c>
      <c r="B137" s="34">
        <f>=1.86e-6*SQRT(C5/07_p0_P0!C62)*C110*C111*C118*C116^1.5/(A137*COS(C115*PI()/180))*(C117+1)/C117*C113^0.25</f>
      </c>
      <c r="C137" s="34">
        <f>=C109*(B137+C121+C124+C129)</f>
      </c>
      <c r="D137" s="35"/>
      <c r="E137" s="35"/>
      <c r="F137" t="s" s="9">
        <v>1293</v>
      </c>
    </row>
    <row r="138" spans="1:26">
      <c r="A138" t="n" s="36">
        <v>0.14</v>
      </c>
      <c r="B138" s="34">
        <f>=1.86e-6*SQRT(C5/07_p0_P0!C62)*C110*C111*C118*C116^1.5/(A138*COS(C115*PI()/180))*(C117+1)/C117*C113^0.25</f>
      </c>
      <c r="C138" s="34">
        <f>=C109*(B138+C121+C124+C129)</f>
      </c>
      <c r="D138" s="35"/>
      <c r="E138" s="35"/>
      <c r="F138" t="s" s="9">
        <v>1293</v>
      </c>
    </row>
    <row r="139" spans="1:26">
      <c r="A139" t="n" s="36">
        <v>0.16</v>
      </c>
      <c r="B139" s="34">
        <f>=1.86e-6*SQRT(C5/07_p0_P0!C62)*C110*C111*C118*C116^1.5/(A139*COS(C115*PI()/180))*(C117+1)/C117*C113^0.25</f>
      </c>
      <c r="C139" s="34">
        <f>=C109*(B139+C121+C124+C129)</f>
      </c>
      <c r="D139" s="35"/>
      <c r="E139" s="35"/>
      <c r="F139" t="s" s="9">
        <v>1293</v>
      </c>
    </row>
    <row r="140" spans="1:26">
      <c r="A140" t="n" s="36">
        <v>0.18</v>
      </c>
      <c r="B140" s="34">
        <f>=1.86e-6*SQRT(C5/07_p0_P0!C62)*C110*C111*C118*C116^1.5/(A140*COS(C115*PI()/180))*(C117+1)/C117*C113^0.25</f>
      </c>
      <c r="C140" s="34">
        <f>=C109*(B140+C121+C124+C129)</f>
      </c>
      <c r="D140" s="35"/>
      <c r="E140" s="35"/>
      <c r="F140" t="s" s="9">
        <v>1293</v>
      </c>
    </row>
    <row r="143" spans="1:26">
      <c r="A143" t="s" s="7">
        <v>1294</v>
      </c>
      <c r="B143" t="s" s="7">
        <v>1295</v>
      </c>
      <c r="C143" t="s" s="7">
        <v>195</v>
      </c>
      <c r="D143" t="s" s="7">
        <v>1296</v>
      </c>
      <c r="E143" t="s" s="7">
        <v>1297</v>
      </c>
      <c r="F143" t="s" s="7">
        <v>1298</v>
      </c>
      <c r="G143" t="s" s="7">
        <v>1297</v>
      </c>
      <c r="H143" t="s" s="7">
        <v>1299</v>
      </c>
      <c r="I143" t="s" s="7">
        <v>1297</v>
      </c>
      <c r="J143" t="s" s="7">
        <v>1300</v>
      </c>
      <c r="K143" t="s" s="7">
        <v>1297</v>
      </c>
      <c r="L143" t="s" s="7">
        <v>642</v>
      </c>
    </row>
    <row r="144" spans="1:26">
      <c r="A144" s="34">
        <f>=A135</f>
      </c>
      <c r="B144" s="34">
        <f>=C135</f>
      </c>
      <c r="C144" s="34">
        <f>=B144+C35+C9+C14</f>
      </c>
      <c r="D144" s="41">
        <f>=(01_ТТТ!D4+01_ТТТ!D6)/(1-C144-C79-C18-06_Масса_I!C34)</f>
      </c>
      <c r="E144" s="28">
        <f>=ABS((D144-C5)/D144)</f>
      </c>
      <c r="F144" s="41">
        <f>=(01_ТТТ!D4+01_ТТТ!D6)/(1-C144-C83-C18-06_Масса_I!C34)</f>
      </c>
      <c r="G144" s="28">
        <f>=ABS((F144-C5)/F144)</f>
      </c>
      <c r="H144" s="41">
        <f>=(01_ТТТ!D4+01_ТТТ!D6)/(1-C144-C79-C18-06_Масса_I!C46)</f>
      </c>
      <c r="I144" s="28">
        <f>=ABS((H144-C5)/H144)</f>
      </c>
      <c r="J144" s="41">
        <f>=(01_ТТТ!D4+01_ТТТ!D6)/(1-C144-C83-C18-06_Масса_I!C46)</f>
      </c>
      <c r="K144" s="28">
        <f>=ABS((J144-C5)/J144)</f>
      </c>
      <c r="L144" t="s" s="9">
        <v>1301</v>
      </c>
    </row>
    <row r="145" spans="1:26">
      <c r="A145" s="34">
        <f>=A136</f>
      </c>
      <c r="B145" s="34">
        <f>=C136</f>
      </c>
      <c r="C145" s="34">
        <f>=B145+C35+C9+C14</f>
      </c>
      <c r="D145" s="41">
        <f>=(01_ТТТ!D4+01_ТТТ!D6)/(1-C145-C79-C18-06_Масса_I!C34)</f>
      </c>
      <c r="E145" s="28">
        <f>=ABS((D145-C5)/D145)</f>
      </c>
      <c r="F145" s="41">
        <f>=(01_ТТТ!D4+01_ТТТ!D6)/(1-C145-C83-C18-06_Масса_I!C34)</f>
      </c>
      <c r="G145" s="28">
        <f>=ABS((F145-C5)/F145)</f>
      </c>
      <c r="H145" s="41">
        <f>=(01_ТТТ!D4+01_ТТТ!D6)/(1-C145-C79-C18-06_Масса_I!C46)</f>
      </c>
      <c r="I145" s="28">
        <f>=ABS((H145-C5)/H145)</f>
      </c>
      <c r="J145" s="41">
        <f>=(01_ТТТ!D4+01_ТТТ!D6)/(1-C145-C83-C18-06_Масса_I!C46)</f>
      </c>
      <c r="K145" s="28">
        <f>=ABS((J145-C5)/J145)</f>
      </c>
      <c r="L145" t="s" s="9">
        <v>1301</v>
      </c>
    </row>
    <row r="146" spans="1:26">
      <c r="A146" s="34">
        <f>=A137</f>
      </c>
      <c r="B146" s="34">
        <f>=C137</f>
      </c>
      <c r="C146" s="34">
        <f>=B146+C35+C9+C14</f>
      </c>
      <c r="D146" s="41">
        <f>=(01_ТТТ!D4+01_ТТТ!D6)/(1-C146-C79-C18-06_Масса_I!C34)</f>
      </c>
      <c r="E146" s="28">
        <f>=ABS((D146-C5)/D146)</f>
      </c>
      <c r="F146" s="41">
        <f>=(01_ТТТ!D4+01_ТТТ!D6)/(1-C146-C83-C18-06_Масса_I!C34)</f>
      </c>
      <c r="G146" s="28">
        <f>=ABS((F146-C5)/F146)</f>
      </c>
      <c r="H146" s="41">
        <f>=(01_ТТТ!D4+01_ТТТ!D6)/(1-C146-C79-C18-06_Масса_I!C46)</f>
      </c>
      <c r="I146" s="28">
        <f>=ABS((H146-C5)/H146)</f>
      </c>
      <c r="J146" s="41">
        <f>=(01_ТТТ!D4+01_ТТТ!D6)/(1-C146-C83-C18-06_Масса_I!C46)</f>
      </c>
      <c r="K146" s="28">
        <f>=ABS((J146-C5)/J146)</f>
      </c>
      <c r="L146" t="s" s="9">
        <v>1301</v>
      </c>
    </row>
    <row r="147" spans="1:26">
      <c r="A147" s="34">
        <f>=A138</f>
      </c>
      <c r="B147" s="34">
        <f>=C138</f>
      </c>
      <c r="C147" s="34">
        <f>=B147+C35+C9+C14</f>
      </c>
      <c r="D147" s="41">
        <f>=(01_ТТТ!D4+01_ТТТ!D6)/(1-C147-C79-C18-06_Масса_I!C34)</f>
      </c>
      <c r="E147" s="28">
        <f>=ABS((D147-C5)/D147)</f>
      </c>
      <c r="F147" s="41">
        <f>=(01_ТТТ!D4+01_ТТТ!D6)/(1-C147-C83-C18-06_Масса_I!C34)</f>
      </c>
      <c r="G147" s="28">
        <f>=ABS((F147-C5)/F147)</f>
      </c>
      <c r="H147" s="41">
        <f>=(01_ТТТ!D4+01_ТТТ!D6)/(1-C147-C79-C18-06_Масса_I!C46)</f>
      </c>
      <c r="I147" s="28">
        <f>=ABS((H147-C5)/H147)</f>
      </c>
      <c r="J147" s="41">
        <f>=(01_ТТТ!D4+01_ТТТ!D6)/(1-C147-C83-C18-06_Масса_I!C46)</f>
      </c>
      <c r="K147" s="28">
        <f>=ABS((J147-C5)/J147)</f>
      </c>
      <c r="L147" t="s" s="9">
        <v>1301</v>
      </c>
    </row>
    <row r="148" spans="1:26">
      <c r="A148" s="34">
        <f>=A139</f>
      </c>
      <c r="B148" s="34">
        <f>=C139</f>
      </c>
      <c r="C148" s="34">
        <f>=B148+C35+C9+C14</f>
      </c>
      <c r="D148" s="41">
        <f>=(01_ТТТ!D4+01_ТТТ!D6)/(1-C148-C79-C18-06_Масса_I!C34)</f>
      </c>
      <c r="E148" s="28">
        <f>=ABS((D148-C5)/D148)</f>
      </c>
      <c r="F148" s="41">
        <f>=(01_ТТТ!D4+01_ТТТ!D6)/(1-C148-C83-C18-06_Масса_I!C34)</f>
      </c>
      <c r="G148" s="28">
        <f>=ABS((F148-C5)/F148)</f>
      </c>
      <c r="H148" s="41">
        <f>=(01_ТТТ!D4+01_ТТТ!D6)/(1-C148-C79-C18-06_Масса_I!C46)</f>
      </c>
      <c r="I148" s="28">
        <f>=ABS((H148-C5)/H148)</f>
      </c>
      <c r="J148" s="41">
        <f>=(01_ТТТ!D4+01_ТТТ!D6)/(1-C148-C83-C18-06_Масса_I!C46)</f>
      </c>
      <c r="K148" s="28">
        <f>=ABS((J148-C5)/J148)</f>
      </c>
      <c r="L148" t="s" s="9">
        <v>1301</v>
      </c>
    </row>
    <row r="149" spans="1:26">
      <c r="A149" s="34">
        <f>=A140</f>
      </c>
      <c r="B149" s="34">
        <f>=C140</f>
      </c>
      <c r="C149" s="34">
        <f>=B149+C35+C9+C14</f>
      </c>
      <c r="D149" s="41">
        <f>=(01_ТТТ!D4+01_ТТТ!D6)/(1-C149-C79-C18-06_Масса_I!C34)</f>
      </c>
      <c r="E149" s="28">
        <f>=ABS((D149-C5)/D149)</f>
      </c>
      <c r="F149" s="41">
        <f>=(01_ТТТ!D4+01_ТТТ!D6)/(1-C149-C83-C18-06_Масса_I!C34)</f>
      </c>
      <c r="G149" s="28">
        <f>=ABS((F149-C5)/F149)</f>
      </c>
      <c r="H149" s="41">
        <f>=(01_ТТТ!D4+01_ТТТ!D6)/(1-C149-C79-C18-06_Масса_I!C46)</f>
      </c>
      <c r="I149" s="28">
        <f>=ABS((H149-C5)/H149)</f>
      </c>
      <c r="J149" s="41">
        <f>=(01_ТТТ!D4+01_ТТТ!D6)/(1-C149-C83-C18-06_Масса_I!C46)</f>
      </c>
      <c r="K149" s="28">
        <f>=ABS((J149-C5)/J149)</f>
      </c>
      <c r="L149" t="s" s="9">
        <v>1301</v>
      </c>
    </row>
    <row r="152" spans="1:26">
      <c r="A152" t="s" s="7">
        <v>1302</v>
      </c>
      <c r="B152" t="s" s="7">
        <v>2</v>
      </c>
      <c r="C152" t="s" s="7">
        <v>1303</v>
      </c>
      <c r="D152" s="7"/>
      <c r="E152" t="s" s="7">
        <v>71</v>
      </c>
      <c r="F152" t="s" s="7">
        <v>1002</v>
      </c>
    </row>
    <row r="153" spans="1:26">
      <c r="A153" t="s" s="9">
        <v>1304</v>
      </c>
      <c r="B153" t="s" s="9">
        <v>450</v>
      </c>
      <c r="C153" t="s" s="36">
        <v>101</v>
      </c>
      <c r="D153" s="35"/>
      <c r="E153" t="s" s="9">
        <v>1305</v>
      </c>
      <c r="F153" t="s" s="9">
        <v>1306</v>
      </c>
    </row>
    <row r="154" spans="1:26">
      <c r="A154" t="s" s="9">
        <v>1307</v>
      </c>
      <c r="B154" t="s" s="9">
        <v>450</v>
      </c>
      <c r="C154" s="34">
        <f>=IF(ISNUMBER(C153),1.86e-6*SQRT(C5/07_p0_P0!C62)*C110*C111*C118*C116^1.5/(C153*COS(C115*PI()/180))*(C117+1)/C117*C113^0.25,"")</f>
      </c>
      <c r="D154" s="35"/>
      <c r="E154" t="s" s="9">
        <v>1232</v>
      </c>
      <c r="F154" t="s" s="9">
        <v>1308</v>
      </c>
    </row>
    <row r="155" spans="1:26">
      <c r="A155" t="s" s="9">
        <v>1309</v>
      </c>
      <c r="B155" t="s" s="9">
        <v>450</v>
      </c>
      <c r="C155" s="34">
        <f>=IF(C154="","",C109*(C154+C121+C124+C129))</f>
      </c>
      <c r="D155" s="35"/>
      <c r="E155" t="s" s="9">
        <v>1194</v>
      </c>
      <c r="F155" t="s" s="9">
        <v>1310</v>
      </c>
    </row>
    <row r="156" spans="1:26">
      <c r="A156" t="s" s="9">
        <v>1311</v>
      </c>
      <c r="B156" t="s" s="9">
        <v>834</v>
      </c>
      <c r="C156" s="34">
        <f>='07_p0_P0'!C100</f>
      </c>
      <c r="D156" s="35"/>
      <c r="E156" t="s" s="9">
        <v>1312</v>
      </c>
      <c r="F156" t="s" s="9">
        <v>1313</v>
      </c>
    </row>
    <row r="157" spans="1:26">
      <c r="A157" t="s" s="9">
        <v>1314</v>
      </c>
      <c r="B157" t="s" s="9">
        <v>450</v>
      </c>
      <c r="C157" t="s" s="36">
        <v>1315</v>
      </c>
      <c r="D157" s="35"/>
      <c r="E157" t="s" s="9">
        <v>1316</v>
      </c>
      <c r="F157" t="s" s="9">
        <v>1317</v>
      </c>
      <c r="Z157" t="n">
        <v>1</v>
      </c>
    </row>
    <row r="158" spans="1:26">
      <c r="A158" t="s" s="9">
        <v>1318</v>
      </c>
      <c r="B158" t="s" s="9">
        <v>990</v>
      </c>
      <c r="C158" s="34">
        <f>=IF(C156="","",C156*C5*C65/9.8)</f>
      </c>
      <c r="D158" s="35"/>
      <c r="E158" t="s" s="9">
        <v>1319</v>
      </c>
      <c r="F158" t="s" s="9">
        <v>1308</v>
      </c>
    </row>
    <row r="159" spans="1:26">
      <c r="A159" t="s" s="9">
        <v>1166</v>
      </c>
      <c r="B159" t="s" s="9">
        <v>990</v>
      </c>
      <c r="C159" s="34">
        <f>=IF(C156="","",C158/C66)</f>
      </c>
      <c r="D159" s="35"/>
      <c r="E159" t="s" s="9">
        <v>1320</v>
      </c>
      <c r="F159" t="s" s="9">
        <v>1308</v>
      </c>
    </row>
    <row r="160" spans="1:26">
      <c r="A160" t="s" s="9">
        <v>1321</v>
      </c>
      <c r="B160" t="s" s="9">
        <v>450</v>
      </c>
      <c r="C160" s="34">
        <f>=IF(C156="","",SQRT(C159*(1.69+1.4*(C67-3)))/(10000*(1+C68^2)^0.75)+100/C159+0.05*C68^(1/3)+0.06)</f>
      </c>
      <c r="D160" s="35"/>
      <c r="E160" t="s" s="9">
        <v>1322</v>
      </c>
      <c r="F160" t="s" s="9">
        <v>1308</v>
      </c>
    </row>
    <row r="161" spans="1:26">
      <c r="A161" t="s" s="9">
        <v>1323</v>
      </c>
      <c r="B161" t="s" s="9">
        <v>450</v>
      </c>
      <c r="C161" s="34">
        <f>=IF(C156="","",C69*(1+0.1*C72/C66)*(C71+C70/C160*(1.62+0.275*C68^0.75)^2))</f>
      </c>
      <c r="D161" s="35"/>
      <c r="E161" t="s" s="9">
        <v>304</v>
      </c>
      <c r="F161" t="s" s="9">
        <v>1308</v>
      </c>
    </row>
    <row r="162" spans="1:26">
      <c r="A162" t="s" s="9">
        <v>1324</v>
      </c>
      <c r="B162" t="s" s="9">
        <v>450</v>
      </c>
      <c r="C162" s="34">
        <f>=IF(C156="","",C161*C160*C156)</f>
      </c>
      <c r="D162" s="35"/>
      <c r="E162" t="s" s="9">
        <v>1325</v>
      </c>
      <c r="F162" t="s" s="9">
        <v>1308</v>
      </c>
    </row>
    <row r="163" spans="1:26">
      <c r="A163" t="s" s="9">
        <v>1326</v>
      </c>
      <c r="B163" t="s" s="9">
        <v>450</v>
      </c>
      <c r="C163" s="34">
        <f>=IF(C156="","",C69*(1+0.1*C72/C66)*(C71+C70/C61*(1.62+0.275*C68^0.75)^2))</f>
      </c>
      <c r="D163" s="35"/>
      <c r="E163" t="s" s="9">
        <v>304</v>
      </c>
      <c r="F163" t="s" s="9">
        <v>1308</v>
      </c>
    </row>
    <row r="164" spans="1:26">
      <c r="A164" t="s" s="9">
        <v>1327</v>
      </c>
      <c r="B164" t="s" s="9">
        <v>450</v>
      </c>
      <c r="C164" s="34">
        <f>=IF(C156="","",C163*C61*C156)</f>
      </c>
      <c r="D164" s="35"/>
      <c r="E164" t="s" s="9">
        <v>1325</v>
      </c>
      <c r="F164" t="s" s="9">
        <v>1308</v>
      </c>
    </row>
    <row r="165" spans="1:26">
      <c r="A165" t="s" s="9">
        <v>1328</v>
      </c>
      <c r="B165" t="s" s="9">
        <v>450</v>
      </c>
      <c r="C165" s="34">
        <f>=IF(Z157=1,C162,IF(Z157=2,C164,""))</f>
      </c>
      <c r="D165" s="35"/>
      <c r="E165" t="s" s="9">
        <v>1329</v>
      </c>
      <c r="F165" t="s" s="9">
        <v>1330</v>
      </c>
    </row>
    <row r="166" spans="1:26">
      <c r="A166" t="s" s="9">
        <v>483</v>
      </c>
      <c r="B166" t="s" s="9">
        <v>14</v>
      </c>
      <c r="C166" s="34">
        <f>='01_ТТТ'!D4</f>
      </c>
      <c r="D166" s="35"/>
      <c r="E166" t="s" s="9">
        <v>716</v>
      </c>
      <c r="F166" t="s" s="9">
        <v>1331</v>
      </c>
    </row>
    <row r="167" spans="1:26">
      <c r="A167" t="s" s="9">
        <v>1332</v>
      </c>
      <c r="B167" t="s" s="9">
        <v>14</v>
      </c>
      <c r="C167" s="34">
        <f>='01_ТТТ'!D6</f>
      </c>
      <c r="D167" s="35"/>
      <c r="E167" t="s" s="9">
        <v>719</v>
      </c>
      <c r="F167" t="s" s="9">
        <v>1331</v>
      </c>
    </row>
    <row r="168" spans="1:26">
      <c r="A168" t="s" s="9">
        <v>1333</v>
      </c>
      <c r="B168" t="s" s="9">
        <v>450</v>
      </c>
      <c r="C168" s="34">
        <f>='06_Масса_I'!C34</f>
      </c>
      <c r="D168" s="35"/>
      <c r="E168" t="s" s="9">
        <v>1334</v>
      </c>
      <c r="F168" t="s" s="9">
        <v>1331</v>
      </c>
    </row>
    <row r="169" spans="1:26">
      <c r="A169" t="s" s="9">
        <v>1335</v>
      </c>
      <c r="B169" t="s" s="9">
        <v>450</v>
      </c>
      <c r="C169" s="34">
        <f>='06_Масса_I'!C46</f>
      </c>
      <c r="D169" s="35"/>
      <c r="E169" t="s" s="9">
        <v>810</v>
      </c>
      <c r="F169" t="s" s="9">
        <v>1331</v>
      </c>
    </row>
    <row r="170" spans="1:26">
      <c r="A170" t="s" s="9">
        <v>1336</v>
      </c>
      <c r="B170" t="s" s="9">
        <v>450</v>
      </c>
      <c r="C170" t="s" s="36">
        <v>1337</v>
      </c>
      <c r="D170" s="35"/>
      <c r="E170" t="s" s="9">
        <v>1338</v>
      </c>
      <c r="F170" t="s" s="9">
        <v>1339</v>
      </c>
      <c r="Z170" t="n">
        <v>1</v>
      </c>
    </row>
    <row r="171" spans="1:26">
      <c r="A171" t="s" s="9">
        <v>1340</v>
      </c>
      <c r="B171" t="s" s="9">
        <v>450</v>
      </c>
      <c r="C171" s="34">
        <f>=IF(Z170=1,C168,IF(Z170=2,C169,""))</f>
      </c>
      <c r="D171" s="35"/>
      <c r="E171" t="s" s="9">
        <v>1341</v>
      </c>
      <c r="F171" t="s" s="9">
        <v>1342</v>
      </c>
    </row>
    <row r="172" spans="1:26">
      <c r="A172" t="s" s="9">
        <v>1343</v>
      </c>
      <c r="B172" t="s" s="9">
        <v>450</v>
      </c>
      <c r="C172" s="34">
        <f>=IF(C155="","",C155+C35+C9+C14)</f>
      </c>
      <c r="D172" s="35"/>
      <c r="E172" t="s" s="9">
        <v>1208</v>
      </c>
      <c r="F172" t="s" s="9">
        <v>1308</v>
      </c>
    </row>
    <row r="173" spans="1:26">
      <c r="A173" t="s" s="9">
        <v>1344</v>
      </c>
      <c r="B173" t="s" s="9">
        <v>14</v>
      </c>
      <c r="C173" s="34">
        <f>=IF(OR(C172="",C165="",C171=""),"",(C166+C167)/(1-C172-C165-C18-C171))</f>
      </c>
      <c r="D173" s="35"/>
      <c r="E173" t="s" s="9">
        <v>1213</v>
      </c>
      <c r="F173" t="s" s="9">
        <v>1308</v>
      </c>
    </row>
    <row r="174" spans="1:26">
      <c r="A174" t="s" s="9">
        <v>1345</v>
      </c>
      <c r="B174" t="s" s="9">
        <v>450</v>
      </c>
      <c r="C174" s="28">
        <f>=IF(C173="","",ABS((C173-C5)/C173))</f>
      </c>
      <c r="D174" s="29"/>
      <c r="E174" t="s" s="9">
        <v>1346</v>
      </c>
      <c r="F174" t="s" s="9">
        <v>1347</v>
      </c>
    </row>
    <row r="175" spans="1:26">
      <c r="A175" t="s" s="9">
        <v>1348</v>
      </c>
      <c r="B175" t="s" s="9">
        <v>450</v>
      </c>
      <c r="C175" t="s" s="9">
        <v>1349</v>
      </c>
      <c r="D175" s="15"/>
      <c r="E175" t="s" s="9">
        <v>1346</v>
      </c>
      <c r="F175" t="s" s="9">
        <v>1350</v>
      </c>
    </row>
    <row r="176" spans="1:26">
      <c r="A176" t="s" s="9">
        <v>1351</v>
      </c>
      <c r="B176" t="s" s="9">
        <v>450</v>
      </c>
      <c r="C176" t="s" s="9">
        <v>1352</v>
      </c>
      <c r="D176" s="15"/>
      <c r="E176" t="s" s="9">
        <v>1353</v>
      </c>
      <c r="F176" t="s" s="9">
        <v>1354</v>
      </c>
    </row>
    <row r="177" spans="1:26">
      <c r="A177" t="s" s="9">
        <v>1355</v>
      </c>
      <c r="B177" t="s" s="9">
        <v>450</v>
      </c>
      <c r="C177" t="s" s="42">
        <v>101</v>
      </c>
      <c r="D177" s="29"/>
      <c r="E177" t="s" s="9">
        <v>1356</v>
      </c>
      <c r="F177" t="s" s="9">
        <v>1357</v>
      </c>
    </row>
    <row r="178" spans="1:26">
      <c r="A178" t="s" s="7">
        <v>1358</v>
      </c>
      <c r="B178" t="s" s="7">
        <v>1359</v>
      </c>
      <c r="C178" t="s" s="7">
        <v>1360</v>
      </c>
      <c r="D178" t="s" s="7">
        <v>1361</v>
      </c>
      <c r="E178" t="s" s="7">
        <v>1362</v>
      </c>
      <c r="F178" t="s" s="7">
        <v>1363</v>
      </c>
      <c r="G178" t="s" s="7">
        <v>1364</v>
      </c>
      <c r="H178" t="s" s="7">
        <v>1365</v>
      </c>
      <c r="I178" t="s" s="7">
        <v>197</v>
      </c>
      <c r="J178" t="s" s="7">
        <v>199</v>
      </c>
      <c r="K178" t="s" s="7">
        <v>202</v>
      </c>
      <c r="L178" t="s" s="7">
        <v>205</v>
      </c>
      <c r="M178" t="s" s="7">
        <v>299</v>
      </c>
      <c r="N178" t="s" s="7">
        <v>303</v>
      </c>
      <c r="O178" t="s" s="7">
        <v>208</v>
      </c>
      <c r="P178" t="s" s="7">
        <v>211</v>
      </c>
      <c r="Q178" t="s" s="7">
        <v>195</v>
      </c>
      <c r="R178" t="s" s="7">
        <v>1366</v>
      </c>
      <c r="S178" t="s" s="7">
        <v>1367</v>
      </c>
      <c r="T178" t="s" s="7">
        <v>1297</v>
      </c>
      <c r="U178" t="s" s="7">
        <v>521</v>
      </c>
    </row>
    <row r="179" spans="1:26">
      <c r="A179" t="n" s="9">
        <v>2</v>
      </c>
      <c r="B179" s="41">
        <f>=IF(AND(ISNUMBER($C$153),OR($Z$170=1,$Z$170=2),ISNUMBER($C$156),OR($Z$157=1,$Z$157=2)),$C$5,"")</f>
      </c>
      <c r="C179" s="41">
        <f>=IF(B179="","",B179*$C$65/(9.8*'07_p0_P0'!$C$62))</f>
      </c>
      <c r="D179" s="41">
        <f>=IF(B179="","",$C$156*B179*$C$65/9.8)</f>
      </c>
      <c r="E179" s="41">
        <f>=IF(B179="","",D179/$C$66)</f>
      </c>
      <c r="F179" s="34">
        <f>=IF(B179="","",1.86e-6*SQRT(B179/'07_p0_P0'!$C$62)*$C$110*$C$111*$C$118*$C$116^1.5/($C$153*COS($C$115*PI()/180))*($C$117+1)/$C$117*$C$113^0.25)</f>
      </c>
      <c r="G179" s="34">
        <f>=IF(B179="","",($C$119+$C$120*SQRT(B179))/'07_p0_P0'!$C$62)</f>
      </c>
      <c r="H179" s="34">
        <f>=IF(B179="","",($C$122+$C$123*SQRT(B179))/'07_p0_P0'!$C$62)</f>
      </c>
      <c r="I179" s="34">
        <f>=IF(B179="","",$C$109*(F179+G179+H179+$C$129))</f>
      </c>
      <c r="J179" s="34">
        <f>=IF(B179="","",$C$34*$C$33*$C$27^2/B179^$C$32+$C$28+$C$29+$C$31)</f>
      </c>
      <c r="K179" s="34">
        <f>=IF(B179="","",0.087*$C$8*$C$7/B179^0.12)</f>
      </c>
      <c r="L179" s="34">
        <f>=IF(B179="","",0.022*$C$12*$C$13*(204000+B179)/(79000+B179))</f>
      </c>
      <c r="M179" s="34">
        <f>=IF(B179="","",IF($Z$157=2,$C$61,SQRT(E179*(1.69+1.4*($C$67-3)))/(10000*(1+$C$68^2)^0.75)+100/E179+0.05*$C$68^(1/3)+0.06))</f>
      </c>
      <c r="N179" s="34">
        <f>=IF(B179="","",$C$69*(1+0.1*$C$72/$C$66)*($C$71+$C$70/M179*(1.62+0.275*$C$68^0.75)^2))</f>
      </c>
      <c r="O179" s="34">
        <f>=IF(B179="","",N179*M179*$C$156)</f>
      </c>
      <c r="P179" s="34">
        <f>=IF(B179="","",(250+30*$C$17)/B179+0.06)</f>
      </c>
      <c r="Q179" s="34">
        <f>=IF(B179="","",I179+J179+K179+L179)</f>
      </c>
      <c r="R179" s="34">
        <f>=IF(B179="","",IF($Z$170=1,$C$168,IF($Z$170=2,$C$169,"")))</f>
      </c>
      <c r="S179" s="41">
        <f>=IF(B179="","",($C$166+$C$167)/(1-Q179-O179-P179-R179))</f>
      </c>
      <c r="T179" s="28">
        <f>=IF(B179="","",ABS((S179-B179)/S179))</f>
      </c>
      <c r="U179" s="11">
        <f>=IF(B179="","",IF(ISNUMBER($C$177),IF(OR($C$177&lt;0.1,$C$177&gt;0.15),5,IF(T179&lt;=$C$177,1,2)),IF(T179&lt;=0.1,1,IF(T179&lt;=0.15,3,2))))</f>
      </c>
    </row>
    <row r="180" spans="1:26">
      <c r="A180" t="n" s="9">
        <v>3</v>
      </c>
      <c r="B180" s="41">
        <f>=IF(U179=2,S179,"")</f>
      </c>
      <c r="C180" s="41">
        <f>=IF(B180="","",B180*$C$65/(9.8*'07_p0_P0'!$C$62))</f>
      </c>
      <c r="D180" s="41">
        <f>=IF(B180="","",$C$156*B180*$C$65/9.8)</f>
      </c>
      <c r="E180" s="41">
        <f>=IF(B180="","",D180/$C$66)</f>
      </c>
      <c r="F180" s="34">
        <f>=IF(B180="","",1.86e-6*SQRT(B180/'07_p0_P0'!$C$62)*$C$110*$C$111*$C$118*$C$116^1.5/($C$153*COS($C$115*PI()/180))*($C$117+1)/$C$117*$C$113^0.25)</f>
      </c>
      <c r="G180" s="34">
        <f>=IF(B180="","",($C$119+$C$120*SQRT(B180))/'07_p0_P0'!$C$62)</f>
      </c>
      <c r="H180" s="34">
        <f>=IF(B180="","",($C$122+$C$123*SQRT(B180))/'07_p0_P0'!$C$62)</f>
      </c>
      <c r="I180" s="34">
        <f>=IF(B180="","",$C$109*(F180+G180+H180+$C$129))</f>
      </c>
      <c r="J180" s="34">
        <f>=IF(B180="","",$C$34*$C$33*$C$27^2/B180^$C$32+$C$28+$C$29+$C$31)</f>
      </c>
      <c r="K180" s="34">
        <f>=IF(B180="","",0.087*$C$8*$C$7/B180^0.12)</f>
      </c>
      <c r="L180" s="34">
        <f>=IF(B180="","",0.022*$C$12*$C$13*(204000+B180)/(79000+B180))</f>
      </c>
      <c r="M180" s="34">
        <f>=IF(B180="","",IF($Z$157=2,$C$61,SQRT(E180*(1.69+1.4*($C$67-3)))/(10000*(1+$C$68^2)^0.75)+100/E180+0.05*$C$68^(1/3)+0.06))</f>
      </c>
      <c r="N180" s="34">
        <f>=IF(B180="","",$C$69*(1+0.1*$C$72/$C$66)*($C$71+$C$70/M180*(1.62+0.275*$C$68^0.75)^2))</f>
      </c>
      <c r="O180" s="34">
        <f>=IF(B180="","",N180*M180*$C$156)</f>
      </c>
      <c r="P180" s="34">
        <f>=IF(B180="","",(250+30*$C$17)/B180+0.06)</f>
      </c>
      <c r="Q180" s="34">
        <f>=IF(B180="","",I180+J180+K180+L180)</f>
      </c>
      <c r="R180" s="34">
        <f>=IF(B180="","",IF($Z$170=1,$C$168,IF($Z$170=2,$C$169,"")))</f>
      </c>
      <c r="S180" s="41">
        <f>=IF(B180="","",($C$166+$C$167)/(1-Q180-O180-P180-R180))</f>
      </c>
      <c r="T180" s="28">
        <f>=IF(B180="","",ABS((S180-B180)/S180))</f>
      </c>
      <c r="U180" s="11">
        <f>=IF(B180="","",IF(ISNUMBER($C$177),IF(OR($C$177&lt;0.1,$C$177&gt;0.15),5,IF(T180&lt;=$C$177,1,2)),IF(T180&lt;=0.1,1,IF(T180&lt;=0.15,3,2))))</f>
      </c>
    </row>
    <row r="181" spans="1:26">
      <c r="A181" t="n" s="9">
        <v>4</v>
      </c>
      <c r="B181" s="41">
        <f>=IF(U180=2,S180,"")</f>
      </c>
      <c r="C181" s="41">
        <f>=IF(B181="","",B181*$C$65/(9.8*'07_p0_P0'!$C$62))</f>
      </c>
      <c r="D181" s="41">
        <f>=IF(B181="","",$C$156*B181*$C$65/9.8)</f>
      </c>
      <c r="E181" s="41">
        <f>=IF(B181="","",D181/$C$66)</f>
      </c>
      <c r="F181" s="34">
        <f>=IF(B181="","",1.86e-6*SQRT(B181/'07_p0_P0'!$C$62)*$C$110*$C$111*$C$118*$C$116^1.5/($C$153*COS($C$115*PI()/180))*($C$117+1)/$C$117*$C$113^0.25)</f>
      </c>
      <c r="G181" s="34">
        <f>=IF(B181="","",($C$119+$C$120*SQRT(B181))/'07_p0_P0'!$C$62)</f>
      </c>
      <c r="H181" s="34">
        <f>=IF(B181="","",($C$122+$C$123*SQRT(B181))/'07_p0_P0'!$C$62)</f>
      </c>
      <c r="I181" s="34">
        <f>=IF(B181="","",$C$109*(F181+G181+H181+$C$129))</f>
      </c>
      <c r="J181" s="34">
        <f>=IF(B181="","",$C$34*$C$33*$C$27^2/B181^$C$32+$C$28+$C$29+$C$31)</f>
      </c>
      <c r="K181" s="34">
        <f>=IF(B181="","",0.087*$C$8*$C$7/B181^0.12)</f>
      </c>
      <c r="L181" s="34">
        <f>=IF(B181="","",0.022*$C$12*$C$13*(204000+B181)/(79000+B181))</f>
      </c>
      <c r="M181" s="34">
        <f>=IF(B181="","",IF($Z$157=2,$C$61,SQRT(E181*(1.69+1.4*($C$67-3)))/(10000*(1+$C$68^2)^0.75)+100/E181+0.05*$C$68^(1/3)+0.06))</f>
      </c>
      <c r="N181" s="34">
        <f>=IF(B181="","",$C$69*(1+0.1*$C$72/$C$66)*($C$71+$C$70/M181*(1.62+0.275*$C$68^0.75)^2))</f>
      </c>
      <c r="O181" s="34">
        <f>=IF(B181="","",N181*M181*$C$156)</f>
      </c>
      <c r="P181" s="34">
        <f>=IF(B181="","",(250+30*$C$17)/B181+0.06)</f>
      </c>
      <c r="Q181" s="34">
        <f>=IF(B181="","",I181+J181+K181+L181)</f>
      </c>
      <c r="R181" s="34">
        <f>=IF(B181="","",IF($Z$170=1,$C$168,IF($Z$170=2,$C$169,"")))</f>
      </c>
      <c r="S181" s="41">
        <f>=IF(B181="","",($C$166+$C$167)/(1-Q181-O181-P181-R181))</f>
      </c>
      <c r="T181" s="28">
        <f>=IF(B181="","",ABS((S181-B181)/S181))</f>
      </c>
      <c r="U181" s="11">
        <f>=IF(B181="","",IF(ISNUMBER($C$177),IF(OR($C$177&lt;0.1,$C$177&gt;0.15),5,IF(T181&lt;=$C$177,1,2)),IF(T181&lt;=0.1,1,IF(T181&lt;=0.15,3,2))))</f>
      </c>
    </row>
    <row r="182" spans="1:26">
      <c r="A182" t="n" s="9">
        <v>5</v>
      </c>
      <c r="B182" s="41">
        <f>=IF(U181=2,S181,"")</f>
      </c>
      <c r="C182" s="41">
        <f>=IF(B182="","",B182*$C$65/(9.8*'07_p0_P0'!$C$62))</f>
      </c>
      <c r="D182" s="41">
        <f>=IF(B182="","",$C$156*B182*$C$65/9.8)</f>
      </c>
      <c r="E182" s="41">
        <f>=IF(B182="","",D182/$C$66)</f>
      </c>
      <c r="F182" s="34">
        <f>=IF(B182="","",1.86e-6*SQRT(B182/'07_p0_P0'!$C$62)*$C$110*$C$111*$C$118*$C$116^1.5/($C$153*COS($C$115*PI()/180))*($C$117+1)/$C$117*$C$113^0.25)</f>
      </c>
      <c r="G182" s="34">
        <f>=IF(B182="","",($C$119+$C$120*SQRT(B182))/'07_p0_P0'!$C$62)</f>
      </c>
      <c r="H182" s="34">
        <f>=IF(B182="","",($C$122+$C$123*SQRT(B182))/'07_p0_P0'!$C$62)</f>
      </c>
      <c r="I182" s="34">
        <f>=IF(B182="","",$C$109*(F182+G182+H182+$C$129))</f>
      </c>
      <c r="J182" s="34">
        <f>=IF(B182="","",$C$34*$C$33*$C$27^2/B182^$C$32+$C$28+$C$29+$C$31)</f>
      </c>
      <c r="K182" s="34">
        <f>=IF(B182="","",0.087*$C$8*$C$7/B182^0.12)</f>
      </c>
      <c r="L182" s="34">
        <f>=IF(B182="","",0.022*$C$12*$C$13*(204000+B182)/(79000+B182))</f>
      </c>
      <c r="M182" s="34">
        <f>=IF(B182="","",IF($Z$157=2,$C$61,SQRT(E182*(1.69+1.4*($C$67-3)))/(10000*(1+$C$68^2)^0.75)+100/E182+0.05*$C$68^(1/3)+0.06))</f>
      </c>
      <c r="N182" s="34">
        <f>=IF(B182="","",$C$69*(1+0.1*$C$72/$C$66)*($C$71+$C$70/M182*(1.62+0.275*$C$68^0.75)^2))</f>
      </c>
      <c r="O182" s="34">
        <f>=IF(B182="","",N182*M182*$C$156)</f>
      </c>
      <c r="P182" s="34">
        <f>=IF(B182="","",(250+30*$C$17)/B182+0.06)</f>
      </c>
      <c r="Q182" s="34">
        <f>=IF(B182="","",I182+J182+K182+L182)</f>
      </c>
      <c r="R182" s="34">
        <f>=IF(B182="","",IF($Z$170=1,$C$168,IF($Z$170=2,$C$169,"")))</f>
      </c>
      <c r="S182" s="41">
        <f>=IF(B182="","",($C$166+$C$167)/(1-Q182-O182-P182-R182))</f>
      </c>
      <c r="T182" s="28">
        <f>=IF(B182="","",ABS((S182-B182)/S182))</f>
      </c>
      <c r="U182" s="11">
        <f>=IF(B182="","",IF(ISNUMBER($C$177),IF(OR($C$177&lt;0.1,$C$177&gt;0.15),5,IF(T182&lt;=$C$177,1,2)),IF(T182&lt;=0.1,1,IF(T182&lt;=0.15,3,2))))</f>
      </c>
    </row>
    <row r="183" spans="1:26">
      <c r="A183" t="n" s="9">
        <v>6</v>
      </c>
      <c r="B183" s="41">
        <f>=IF(U182=2,S182,"")</f>
      </c>
      <c r="C183" s="41">
        <f>=IF(B183="","",B183*$C$65/(9.8*'07_p0_P0'!$C$62))</f>
      </c>
      <c r="D183" s="41">
        <f>=IF(B183="","",$C$156*B183*$C$65/9.8)</f>
      </c>
      <c r="E183" s="41">
        <f>=IF(B183="","",D183/$C$66)</f>
      </c>
      <c r="F183" s="34">
        <f>=IF(B183="","",1.86e-6*SQRT(B183/'07_p0_P0'!$C$62)*$C$110*$C$111*$C$118*$C$116^1.5/($C$153*COS($C$115*PI()/180))*($C$117+1)/$C$117*$C$113^0.25)</f>
      </c>
      <c r="G183" s="34">
        <f>=IF(B183="","",($C$119+$C$120*SQRT(B183))/'07_p0_P0'!$C$62)</f>
      </c>
      <c r="H183" s="34">
        <f>=IF(B183="","",($C$122+$C$123*SQRT(B183))/'07_p0_P0'!$C$62)</f>
      </c>
      <c r="I183" s="34">
        <f>=IF(B183="","",$C$109*(F183+G183+H183+$C$129))</f>
      </c>
      <c r="J183" s="34">
        <f>=IF(B183="","",$C$34*$C$33*$C$27^2/B183^$C$32+$C$28+$C$29+$C$31)</f>
      </c>
      <c r="K183" s="34">
        <f>=IF(B183="","",0.087*$C$8*$C$7/B183^0.12)</f>
      </c>
      <c r="L183" s="34">
        <f>=IF(B183="","",0.022*$C$12*$C$13*(204000+B183)/(79000+B183))</f>
      </c>
      <c r="M183" s="34">
        <f>=IF(B183="","",IF($Z$157=2,$C$61,SQRT(E183*(1.69+1.4*($C$67-3)))/(10000*(1+$C$68^2)^0.75)+100/E183+0.05*$C$68^(1/3)+0.06))</f>
      </c>
      <c r="N183" s="34">
        <f>=IF(B183="","",$C$69*(1+0.1*$C$72/$C$66)*($C$71+$C$70/M183*(1.62+0.275*$C$68^0.75)^2))</f>
      </c>
      <c r="O183" s="34">
        <f>=IF(B183="","",N183*M183*$C$156)</f>
      </c>
      <c r="P183" s="34">
        <f>=IF(B183="","",(250+30*$C$17)/B183+0.06)</f>
      </c>
      <c r="Q183" s="34">
        <f>=IF(B183="","",I183+J183+K183+L183)</f>
      </c>
      <c r="R183" s="34">
        <f>=IF(B183="","",IF($Z$170=1,$C$168,IF($Z$170=2,$C$169,"")))</f>
      </c>
      <c r="S183" s="41">
        <f>=IF(B183="","",($C$166+$C$167)/(1-Q183-O183-P183-R183))</f>
      </c>
      <c r="T183" s="28">
        <f>=IF(B183="","",ABS((S183-B183)/S183))</f>
      </c>
      <c r="U183" s="11">
        <f>=IF(B183="","",IF(ISNUMBER($C$177),IF(OR($C$177&lt;0.1,$C$177&gt;0.15),5,IF(T183&lt;=$C$177,1,2)),IF(T183&lt;=0.1,1,IF(T183&lt;=0.15,3,2))))</f>
      </c>
    </row>
    <row r="184" spans="1:26">
      <c r="A184" t="n" s="9">
        <v>7</v>
      </c>
      <c r="B184" s="41">
        <f>=IF(U183=2,S183,"")</f>
      </c>
      <c r="C184" s="41">
        <f>=IF(B184="","",B184*$C$65/(9.8*'07_p0_P0'!$C$62))</f>
      </c>
      <c r="D184" s="41">
        <f>=IF(B184="","",$C$156*B184*$C$65/9.8)</f>
      </c>
      <c r="E184" s="41">
        <f>=IF(B184="","",D184/$C$66)</f>
      </c>
      <c r="F184" s="34">
        <f>=IF(B184="","",1.86e-6*SQRT(B184/'07_p0_P0'!$C$62)*$C$110*$C$111*$C$118*$C$116^1.5/($C$153*COS($C$115*PI()/180))*($C$117+1)/$C$117*$C$113^0.25)</f>
      </c>
      <c r="G184" s="34">
        <f>=IF(B184="","",($C$119+$C$120*SQRT(B184))/'07_p0_P0'!$C$62)</f>
      </c>
      <c r="H184" s="34">
        <f>=IF(B184="","",($C$122+$C$123*SQRT(B184))/'07_p0_P0'!$C$62)</f>
      </c>
      <c r="I184" s="34">
        <f>=IF(B184="","",$C$109*(F184+G184+H184+$C$129))</f>
      </c>
      <c r="J184" s="34">
        <f>=IF(B184="","",$C$34*$C$33*$C$27^2/B184^$C$32+$C$28+$C$29+$C$31)</f>
      </c>
      <c r="K184" s="34">
        <f>=IF(B184="","",0.087*$C$8*$C$7/B184^0.12)</f>
      </c>
      <c r="L184" s="34">
        <f>=IF(B184="","",0.022*$C$12*$C$13*(204000+B184)/(79000+B184))</f>
      </c>
      <c r="M184" s="34">
        <f>=IF(B184="","",IF($Z$157=2,$C$61,SQRT(E184*(1.69+1.4*($C$67-3)))/(10000*(1+$C$68^2)^0.75)+100/E184+0.05*$C$68^(1/3)+0.06))</f>
      </c>
      <c r="N184" s="34">
        <f>=IF(B184="","",$C$69*(1+0.1*$C$72/$C$66)*($C$71+$C$70/M184*(1.62+0.275*$C$68^0.75)^2))</f>
      </c>
      <c r="O184" s="34">
        <f>=IF(B184="","",N184*M184*$C$156)</f>
      </c>
      <c r="P184" s="34">
        <f>=IF(B184="","",(250+30*$C$17)/B184+0.06)</f>
      </c>
      <c r="Q184" s="34">
        <f>=IF(B184="","",I184+J184+K184+L184)</f>
      </c>
      <c r="R184" s="34">
        <f>=IF(B184="","",IF($Z$170=1,$C$168,IF($Z$170=2,$C$169,"")))</f>
      </c>
      <c r="S184" s="41">
        <f>=IF(B184="","",($C$166+$C$167)/(1-Q184-O184-P184-R184))</f>
      </c>
      <c r="T184" s="28">
        <f>=IF(B184="","",ABS((S184-B184)/S184))</f>
      </c>
      <c r="U184" s="11">
        <f>=IF(B184="","",IF(ISNUMBER($C$177),IF(OR($C$177&lt;0.1,$C$177&gt;0.15),5,IF(T184&lt;=$C$177,1,2)),IF(T184&lt;=0.1,1,IF(T184&lt;=0.15,3,2))))</f>
      </c>
    </row>
    <row r="185" spans="1:26">
      <c r="A185" t="n" s="9">
        <v>8</v>
      </c>
      <c r="B185" s="41">
        <f>=IF(U184=2,S184,"")</f>
      </c>
      <c r="C185" s="41">
        <f>=IF(B185="","",B185*$C$65/(9.8*'07_p0_P0'!$C$62))</f>
      </c>
      <c r="D185" s="41">
        <f>=IF(B185="","",$C$156*B185*$C$65/9.8)</f>
      </c>
      <c r="E185" s="41">
        <f>=IF(B185="","",D185/$C$66)</f>
      </c>
      <c r="F185" s="34">
        <f>=IF(B185="","",1.86e-6*SQRT(B185/'07_p0_P0'!$C$62)*$C$110*$C$111*$C$118*$C$116^1.5/($C$153*COS($C$115*PI()/180))*($C$117+1)/$C$117*$C$113^0.25)</f>
      </c>
      <c r="G185" s="34">
        <f>=IF(B185="","",($C$119+$C$120*SQRT(B185))/'07_p0_P0'!$C$62)</f>
      </c>
      <c r="H185" s="34">
        <f>=IF(B185="","",($C$122+$C$123*SQRT(B185))/'07_p0_P0'!$C$62)</f>
      </c>
      <c r="I185" s="34">
        <f>=IF(B185="","",$C$109*(F185+G185+H185+$C$129))</f>
      </c>
      <c r="J185" s="34">
        <f>=IF(B185="","",$C$34*$C$33*$C$27^2/B185^$C$32+$C$28+$C$29+$C$31)</f>
      </c>
      <c r="K185" s="34">
        <f>=IF(B185="","",0.087*$C$8*$C$7/B185^0.12)</f>
      </c>
      <c r="L185" s="34">
        <f>=IF(B185="","",0.022*$C$12*$C$13*(204000+B185)/(79000+B185))</f>
      </c>
      <c r="M185" s="34">
        <f>=IF(B185="","",IF($Z$157=2,$C$61,SQRT(E185*(1.69+1.4*($C$67-3)))/(10000*(1+$C$68^2)^0.75)+100/E185+0.05*$C$68^(1/3)+0.06))</f>
      </c>
      <c r="N185" s="34">
        <f>=IF(B185="","",$C$69*(1+0.1*$C$72/$C$66)*($C$71+$C$70/M185*(1.62+0.275*$C$68^0.75)^2))</f>
      </c>
      <c r="O185" s="34">
        <f>=IF(B185="","",N185*M185*$C$156)</f>
      </c>
      <c r="P185" s="34">
        <f>=IF(B185="","",(250+30*$C$17)/B185+0.06)</f>
      </c>
      <c r="Q185" s="34">
        <f>=IF(B185="","",I185+J185+K185+L185)</f>
      </c>
      <c r="R185" s="34">
        <f>=IF(B185="","",IF($Z$170=1,$C$168,IF($Z$170=2,$C$169,"")))</f>
      </c>
      <c r="S185" s="41">
        <f>=IF(B185="","",($C$166+$C$167)/(1-Q185-O185-P185-R185))</f>
      </c>
      <c r="T185" s="28">
        <f>=IF(B185="","",ABS((S185-B185)/S185))</f>
      </c>
      <c r="U185" s="11">
        <f>=IF(B185="","",IF(ISNUMBER($C$177),IF(OR($C$177&lt;0.1,$C$177&gt;0.15),5,IF(T185&lt;=$C$177,1,2)),IF(T185&lt;=0.1,1,IF(T185&lt;=0.15,3,2))))</f>
      </c>
    </row>
    <row r="186" spans="1:26">
      <c r="A186" t="n" s="9">
        <v>9</v>
      </c>
      <c r="B186" s="41">
        <f>=IF(U185=2,S185,"")</f>
      </c>
      <c r="C186" s="41">
        <f>=IF(B186="","",B186*$C$65/(9.8*'07_p0_P0'!$C$62))</f>
      </c>
      <c r="D186" s="41">
        <f>=IF(B186="","",$C$156*B186*$C$65/9.8)</f>
      </c>
      <c r="E186" s="41">
        <f>=IF(B186="","",D186/$C$66)</f>
      </c>
      <c r="F186" s="34">
        <f>=IF(B186="","",1.86e-6*SQRT(B186/'07_p0_P0'!$C$62)*$C$110*$C$111*$C$118*$C$116^1.5/($C$153*COS($C$115*PI()/180))*($C$117+1)/$C$117*$C$113^0.25)</f>
      </c>
      <c r="G186" s="34">
        <f>=IF(B186="","",($C$119+$C$120*SQRT(B186))/'07_p0_P0'!$C$62)</f>
      </c>
      <c r="H186" s="34">
        <f>=IF(B186="","",($C$122+$C$123*SQRT(B186))/'07_p0_P0'!$C$62)</f>
      </c>
      <c r="I186" s="34">
        <f>=IF(B186="","",$C$109*(F186+G186+H186+$C$129))</f>
      </c>
      <c r="J186" s="34">
        <f>=IF(B186="","",$C$34*$C$33*$C$27^2/B186^$C$32+$C$28+$C$29+$C$31)</f>
      </c>
      <c r="K186" s="34">
        <f>=IF(B186="","",0.087*$C$8*$C$7/B186^0.12)</f>
      </c>
      <c r="L186" s="34">
        <f>=IF(B186="","",0.022*$C$12*$C$13*(204000+B186)/(79000+B186))</f>
      </c>
      <c r="M186" s="34">
        <f>=IF(B186="","",IF($Z$157=2,$C$61,SQRT(E186*(1.69+1.4*($C$67-3)))/(10000*(1+$C$68^2)^0.75)+100/E186+0.05*$C$68^(1/3)+0.06))</f>
      </c>
      <c r="N186" s="34">
        <f>=IF(B186="","",$C$69*(1+0.1*$C$72/$C$66)*($C$71+$C$70/M186*(1.62+0.275*$C$68^0.75)^2))</f>
      </c>
      <c r="O186" s="34">
        <f>=IF(B186="","",N186*M186*$C$156)</f>
      </c>
      <c r="P186" s="34">
        <f>=IF(B186="","",(250+30*$C$17)/B186+0.06)</f>
      </c>
      <c r="Q186" s="34">
        <f>=IF(B186="","",I186+J186+K186+L186)</f>
      </c>
      <c r="R186" s="34">
        <f>=IF(B186="","",IF($Z$170=1,$C$168,IF($Z$170=2,$C$169,"")))</f>
      </c>
      <c r="S186" s="41">
        <f>=IF(B186="","",($C$166+$C$167)/(1-Q186-O186-P186-R186))</f>
      </c>
      <c r="T186" s="28">
        <f>=IF(B186="","",ABS((S186-B186)/S186))</f>
      </c>
      <c r="U186" s="11">
        <f>=IF(B186="","",IF(ISNUMBER($C$177),IF(OR($C$177&lt;0.1,$C$177&gt;0.15),5,IF(T186&lt;=$C$177,1,2)),IF(T186&lt;=0.1,1,IF(T186&lt;=0.15,3,2))))</f>
      </c>
    </row>
    <row r="187" spans="1:26">
      <c r="A187" t="n" s="9">
        <v>10</v>
      </c>
      <c r="B187" s="41">
        <f>=IF(U186=2,S186,"")</f>
      </c>
      <c r="C187" s="41">
        <f>=IF(B187="","",B187*$C$65/(9.8*'07_p0_P0'!$C$62))</f>
      </c>
      <c r="D187" s="41">
        <f>=IF(B187="","",$C$156*B187*$C$65/9.8)</f>
      </c>
      <c r="E187" s="41">
        <f>=IF(B187="","",D187/$C$66)</f>
      </c>
      <c r="F187" s="34">
        <f>=IF(B187="","",1.86e-6*SQRT(B187/'07_p0_P0'!$C$62)*$C$110*$C$111*$C$118*$C$116^1.5/($C$153*COS($C$115*PI()/180))*($C$117+1)/$C$117*$C$113^0.25)</f>
      </c>
      <c r="G187" s="34">
        <f>=IF(B187="","",($C$119+$C$120*SQRT(B187))/'07_p0_P0'!$C$62)</f>
      </c>
      <c r="H187" s="34">
        <f>=IF(B187="","",($C$122+$C$123*SQRT(B187))/'07_p0_P0'!$C$62)</f>
      </c>
      <c r="I187" s="34">
        <f>=IF(B187="","",$C$109*(F187+G187+H187+$C$129))</f>
      </c>
      <c r="J187" s="34">
        <f>=IF(B187="","",$C$34*$C$33*$C$27^2/B187^$C$32+$C$28+$C$29+$C$31)</f>
      </c>
      <c r="K187" s="34">
        <f>=IF(B187="","",0.087*$C$8*$C$7/B187^0.12)</f>
      </c>
      <c r="L187" s="34">
        <f>=IF(B187="","",0.022*$C$12*$C$13*(204000+B187)/(79000+B187))</f>
      </c>
      <c r="M187" s="34">
        <f>=IF(B187="","",IF($Z$157=2,$C$61,SQRT(E187*(1.69+1.4*($C$67-3)))/(10000*(1+$C$68^2)^0.75)+100/E187+0.05*$C$68^(1/3)+0.06))</f>
      </c>
      <c r="N187" s="34">
        <f>=IF(B187="","",$C$69*(1+0.1*$C$72/$C$66)*($C$71+$C$70/M187*(1.62+0.275*$C$68^0.75)^2))</f>
      </c>
      <c r="O187" s="34">
        <f>=IF(B187="","",N187*M187*$C$156)</f>
      </c>
      <c r="P187" s="34">
        <f>=IF(B187="","",(250+30*$C$17)/B187+0.06)</f>
      </c>
      <c r="Q187" s="34">
        <f>=IF(B187="","",I187+J187+K187+L187)</f>
      </c>
      <c r="R187" s="34">
        <f>=IF(B187="","",IF($Z$170=1,$C$168,IF($Z$170=2,$C$169,"")))</f>
      </c>
      <c r="S187" s="41">
        <f>=IF(B187="","",($C$166+$C$167)/(1-Q187-O187-P187-R187))</f>
      </c>
      <c r="T187" s="28">
        <f>=IF(B187="","",ABS((S187-B187)/S187))</f>
      </c>
      <c r="U187" s="11">
        <f>=IF(B187="","",IF(ISNUMBER($C$177),IF(OR($C$177&lt;0.1,$C$177&gt;0.15),5,IF(T187&lt;=$C$177,1,2)),IF(T187&lt;=0.1,1,IF(T187&lt;=0.15,3,2))))</f>
      </c>
    </row>
    <row r="188" spans="1:26">
      <c r="A188" t="n" s="9">
        <v>11</v>
      </c>
      <c r="B188" s="41">
        <f>=IF(U187=2,S187,"")</f>
      </c>
      <c r="C188" s="41">
        <f>=IF(B188="","",B188*$C$65/(9.8*'07_p0_P0'!$C$62))</f>
      </c>
      <c r="D188" s="41">
        <f>=IF(B188="","",$C$156*B188*$C$65/9.8)</f>
      </c>
      <c r="E188" s="41">
        <f>=IF(B188="","",D188/$C$66)</f>
      </c>
      <c r="F188" s="34">
        <f>=IF(B188="","",1.86e-6*SQRT(B188/'07_p0_P0'!$C$62)*$C$110*$C$111*$C$118*$C$116^1.5/($C$153*COS($C$115*PI()/180))*($C$117+1)/$C$117*$C$113^0.25)</f>
      </c>
      <c r="G188" s="34">
        <f>=IF(B188="","",($C$119+$C$120*SQRT(B188))/'07_p0_P0'!$C$62)</f>
      </c>
      <c r="H188" s="34">
        <f>=IF(B188="","",($C$122+$C$123*SQRT(B188))/'07_p0_P0'!$C$62)</f>
      </c>
      <c r="I188" s="34">
        <f>=IF(B188="","",$C$109*(F188+G188+H188+$C$129))</f>
      </c>
      <c r="J188" s="34">
        <f>=IF(B188="","",$C$34*$C$33*$C$27^2/B188^$C$32+$C$28+$C$29+$C$31)</f>
      </c>
      <c r="K188" s="34">
        <f>=IF(B188="","",0.087*$C$8*$C$7/B188^0.12)</f>
      </c>
      <c r="L188" s="34">
        <f>=IF(B188="","",0.022*$C$12*$C$13*(204000+B188)/(79000+B188))</f>
      </c>
      <c r="M188" s="34">
        <f>=IF(B188="","",IF($Z$157=2,$C$61,SQRT(E188*(1.69+1.4*($C$67-3)))/(10000*(1+$C$68^2)^0.75)+100/E188+0.05*$C$68^(1/3)+0.06))</f>
      </c>
      <c r="N188" s="34">
        <f>=IF(B188="","",$C$69*(1+0.1*$C$72/$C$66)*($C$71+$C$70/M188*(1.62+0.275*$C$68^0.75)^2))</f>
      </c>
      <c r="O188" s="34">
        <f>=IF(B188="","",N188*M188*$C$156)</f>
      </c>
      <c r="P188" s="34">
        <f>=IF(B188="","",(250+30*$C$17)/B188+0.06)</f>
      </c>
      <c r="Q188" s="34">
        <f>=IF(B188="","",I188+J188+K188+L188)</f>
      </c>
      <c r="R188" s="34">
        <f>=IF(B188="","",IF($Z$170=1,$C$168,IF($Z$170=2,$C$169,"")))</f>
      </c>
      <c r="S188" s="41">
        <f>=IF(B188="","",($C$166+$C$167)/(1-Q188-O188-P188-R188))</f>
      </c>
      <c r="T188" s="28">
        <f>=IF(B188="","",ABS((S188-B188)/S188))</f>
      </c>
      <c r="U188" s="11">
        <f>=IF(B188="","",IF(ISNUMBER($C$177),IF(OR($C$177&lt;0.1,$C$177&gt;0.15),5,IF(T188&lt;=$C$177,1,2)),IF(T188&lt;=0.1,1,IF(T188&lt;=0.15,3,2))))</f>
      </c>
    </row>
    <row r="189" spans="1:26">
      <c r="A189" t="n" s="9">
        <v>12</v>
      </c>
      <c r="B189" s="41">
        <f>=IF(U188=2,S188,"")</f>
      </c>
      <c r="C189" s="41">
        <f>=IF(B189="","",B189*$C$65/(9.8*'07_p0_P0'!$C$62))</f>
      </c>
      <c r="D189" s="41">
        <f>=IF(B189="","",$C$156*B189*$C$65/9.8)</f>
      </c>
      <c r="E189" s="41">
        <f>=IF(B189="","",D189/$C$66)</f>
      </c>
      <c r="F189" s="34">
        <f>=IF(B189="","",1.86e-6*SQRT(B189/'07_p0_P0'!$C$62)*$C$110*$C$111*$C$118*$C$116^1.5/($C$153*COS($C$115*PI()/180))*($C$117+1)/$C$117*$C$113^0.25)</f>
      </c>
      <c r="G189" s="34">
        <f>=IF(B189="","",($C$119+$C$120*SQRT(B189))/'07_p0_P0'!$C$62)</f>
      </c>
      <c r="H189" s="34">
        <f>=IF(B189="","",($C$122+$C$123*SQRT(B189))/'07_p0_P0'!$C$62)</f>
      </c>
      <c r="I189" s="34">
        <f>=IF(B189="","",$C$109*(F189+G189+H189+$C$129))</f>
      </c>
      <c r="J189" s="34">
        <f>=IF(B189="","",$C$34*$C$33*$C$27^2/B189^$C$32+$C$28+$C$29+$C$31)</f>
      </c>
      <c r="K189" s="34">
        <f>=IF(B189="","",0.087*$C$8*$C$7/B189^0.12)</f>
      </c>
      <c r="L189" s="34">
        <f>=IF(B189="","",0.022*$C$12*$C$13*(204000+B189)/(79000+B189))</f>
      </c>
      <c r="M189" s="34">
        <f>=IF(B189="","",IF($Z$157=2,$C$61,SQRT(E189*(1.69+1.4*($C$67-3)))/(10000*(1+$C$68^2)^0.75)+100/E189+0.05*$C$68^(1/3)+0.06))</f>
      </c>
      <c r="N189" s="34">
        <f>=IF(B189="","",$C$69*(1+0.1*$C$72/$C$66)*($C$71+$C$70/M189*(1.62+0.275*$C$68^0.75)^2))</f>
      </c>
      <c r="O189" s="34">
        <f>=IF(B189="","",N189*M189*$C$156)</f>
      </c>
      <c r="P189" s="34">
        <f>=IF(B189="","",(250+30*$C$17)/B189+0.06)</f>
      </c>
      <c r="Q189" s="34">
        <f>=IF(B189="","",I189+J189+K189+L189)</f>
      </c>
      <c r="R189" s="34">
        <f>=IF(B189="","",IF($Z$170=1,$C$168,IF($Z$170=2,$C$169,"")))</f>
      </c>
      <c r="S189" s="41">
        <f>=IF(B189="","",($C$166+$C$167)/(1-Q189-O189-P189-R189))</f>
      </c>
      <c r="T189" s="28">
        <f>=IF(B189="","",ABS((S189-B189)/S189))</f>
      </c>
      <c r="U189" s="11">
        <f>=IF(B189="","",IF(ISNUMBER($C$177),IF(OR($C$177&lt;0.1,$C$177&gt;0.15),5,IF(T189&lt;=$C$177,1,4)),IF(T189&lt;=0.1,1,IF(T189&lt;=0.15,3,4))))</f>
      </c>
    </row>
    <row r="191" spans="1:26">
      <c r="A191" t="s" s="8">
        <v>1368</v>
      </c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3" spans="1:26">
      <c r="A193" t="s" s="7">
        <v>1369</v>
      </c>
      <c r="B193" t="s" s="7">
        <v>2</v>
      </c>
      <c r="C193" t="s" s="7">
        <v>479</v>
      </c>
      <c r="D193" s="7"/>
      <c r="E193" t="s" s="7">
        <v>71</v>
      </c>
      <c r="F193" t="s" s="7">
        <v>715</v>
      </c>
      <c r="G193" t="s" s="7">
        <v>1370</v>
      </c>
    </row>
    <row r="194" spans="1:26">
      <c r="A194" t="s" s="9">
        <v>1371</v>
      </c>
      <c r="B194" t="s" s="9">
        <v>450</v>
      </c>
      <c r="C194" s="11">
        <f>=IF($U$189=1,$A$189,IF($U$188=1,$A$188,IF($U$187=1,$A$187,IF($U$186=1,$A$186,IF($U$185=1,$A$185,IF($U$184=1,$A$184,IF($U$183=1,$A$183,IF($U$182=1,$A$182,IF($U$181=1,$A$181,IF($U$180=1,$A$180,IF($U$179=1,$A$179,"")))))))))))</f>
      </c>
      <c r="D194" s="15"/>
      <c r="E194" t="s" s="9">
        <v>1346</v>
      </c>
      <c r="F194" t="s" s="9">
        <v>1372</v>
      </c>
    </row>
    <row r="195" spans="1:26">
      <c r="A195" t="s" s="9">
        <v>1373</v>
      </c>
      <c r="B195" t="s" s="9">
        <v>14</v>
      </c>
      <c r="C195" s="41">
        <f>=IF($U$189=1,$S$189,IF($U$188=1,$S$188,IF($U$187=1,$S$187,IF($U$186=1,$S$186,IF($U$185=1,$S$185,IF($U$184=1,$S$184,IF($U$183=1,$S$183,IF($U$182=1,$S$182,IF($U$181=1,$S$181,IF($U$180=1,$S$180,IF($U$179=1,$S$179,"")))))))))))</f>
      </c>
      <c r="D195" s="43"/>
      <c r="E195" t="s" s="9">
        <v>1374</v>
      </c>
      <c r="F195" t="s" s="9">
        <v>1375</v>
      </c>
    </row>
    <row r="196" spans="1:26">
      <c r="A196" t="s" s="9">
        <v>1376</v>
      </c>
      <c r="B196" t="s" s="9">
        <v>14</v>
      </c>
      <c r="C196" s="41">
        <f>=IF(C195="","",C195*G196)</f>
      </c>
      <c r="D196" s="43"/>
      <c r="E196" t="s" s="9">
        <v>1377</v>
      </c>
      <c r="F196" t="s" s="9">
        <v>1378</v>
      </c>
      <c r="G196" s="34">
        <f>=IF($U$189=1,$I$189,IF($U$188=1,$I$188,IF($U$187=1,$I$187,IF($U$186=1,$I$186,IF($U$185=1,$I$185,IF($U$184=1,$I$184,IF($U$183=1,$I$183,IF($U$182=1,$I$182,IF($U$181=1,$I$181,IF($U$180=1,$I$180,IF($U$179=1,$I$179,"")))))))))))</f>
      </c>
    </row>
    <row r="197" spans="1:26">
      <c r="A197" t="s" s="9">
        <v>1379</v>
      </c>
      <c r="B197" t="s" s="9">
        <v>14</v>
      </c>
      <c r="C197" s="41">
        <f>=IF(C195="","",C195*G197)</f>
      </c>
      <c r="D197" s="43"/>
      <c r="E197" t="s" s="9">
        <v>1380</v>
      </c>
      <c r="F197" t="s" s="9">
        <v>1378</v>
      </c>
      <c r="G197" s="34">
        <f>=IF($U$189=1,$J$189,IF($U$188=1,$J$188,IF($U$187=1,$J$187,IF($U$186=1,$J$186,IF($U$185=1,$J$185,IF($U$184=1,$J$184,IF($U$183=1,$J$183,IF($U$182=1,$J$182,IF($U$181=1,$J$181,IF($U$180=1,$J$180,IF($U$179=1,$J$179,"")))))))))))</f>
      </c>
    </row>
    <row r="198" spans="1:26">
      <c r="A198" t="s" s="9">
        <v>1381</v>
      </c>
      <c r="B198" t="s" s="9">
        <v>14</v>
      </c>
      <c r="C198" s="41">
        <f>=IF(C195="","",C195*G198)</f>
      </c>
      <c r="D198" s="43"/>
      <c r="E198" t="s" s="9">
        <v>1382</v>
      </c>
      <c r="F198" t="s" s="9">
        <v>1378</v>
      </c>
      <c r="G198" s="34">
        <f>=IF($U$189=1,$K$189,IF($U$188=1,$K$188,IF($U$187=1,$K$187,IF($U$186=1,$K$186,IF($U$185=1,$K$185,IF($U$184=1,$K$184,IF($U$183=1,$K$183,IF($U$182=1,$K$182,IF($U$181=1,$K$181,IF($U$180=1,$K$180,IF($U$179=1,$K$179,"")))))))))))</f>
      </c>
    </row>
    <row r="199" spans="1:26">
      <c r="A199" t="s" s="9">
        <v>1383</v>
      </c>
      <c r="B199" t="s" s="9">
        <v>14</v>
      </c>
      <c r="C199" s="41">
        <f>=IF(C195="","",C195*G199)</f>
      </c>
      <c r="D199" s="43"/>
      <c r="E199" t="s" s="9">
        <v>1384</v>
      </c>
      <c r="F199" t="s" s="9">
        <v>1378</v>
      </c>
      <c r="G199" s="34">
        <f>=IF($U$189=1,$L$189,IF($U$188=1,$L$188,IF($U$187=1,$L$187,IF($U$186=1,$L$186,IF($U$185=1,$L$185,IF($U$184=1,$L$184,IF($U$183=1,$L$183,IF($U$182=1,$L$182,IF($U$181=1,$L$181,IF($U$180=1,$L$180,IF($U$179=1,$L$179,"")))))))))))</f>
      </c>
    </row>
    <row r="200" spans="1:26">
      <c r="A200" t="s" s="9">
        <v>1385</v>
      </c>
      <c r="B200" t="s" s="9">
        <v>14</v>
      </c>
      <c r="C200" s="41">
        <f>=IF(C195="","",C196+C197+C198+C199)</f>
      </c>
      <c r="D200" s="43"/>
      <c r="E200" t="s" s="9">
        <v>1386</v>
      </c>
      <c r="F200" t="s" s="9">
        <v>1387</v>
      </c>
      <c r="G200" s="34">
        <f>=IF($U$189=1,$Q$189,IF($U$188=1,$Q$188,IF($U$187=1,$Q$187,IF($U$186=1,$Q$186,IF($U$185=1,$Q$185,IF($U$184=1,$Q$184,IF($U$183=1,$Q$183,IF($U$182=1,$Q$182,IF($U$181=1,$Q$181,IF($U$180=1,$Q$180,IF($U$179=1,$Q$179,"")))))))))))</f>
      </c>
    </row>
    <row r="201" spans="1:26">
      <c r="A201" t="s" s="9">
        <v>1388</v>
      </c>
      <c r="B201" t="s" s="9">
        <v>14</v>
      </c>
      <c r="C201" s="41">
        <f>=IF(C195="","",C195*G201)</f>
      </c>
      <c r="D201" s="43"/>
      <c r="E201" t="s" s="9">
        <v>1389</v>
      </c>
      <c r="F201" t="s" s="9">
        <v>1378</v>
      </c>
      <c r="G201" s="34">
        <f>=IF($U$189=1,$O$189,IF($U$188=1,$O$188,IF($U$187=1,$O$187,IF($U$186=1,$O$186,IF($U$185=1,$O$185,IF($U$184=1,$O$184,IF($U$183=1,$O$183,IF($U$182=1,$O$182,IF($U$181=1,$O$181,IF($U$180=1,$O$180,IF($U$179=1,$O$179,"")))))))))))</f>
      </c>
    </row>
    <row r="202" spans="1:26">
      <c r="A202" t="s" s="9">
        <v>1390</v>
      </c>
      <c r="B202" t="s" s="9">
        <v>14</v>
      </c>
      <c r="C202" s="41">
        <f>=IF(C195="","",C195*G202)</f>
      </c>
      <c r="D202" s="43"/>
      <c r="E202" t="s" s="9">
        <v>1391</v>
      </c>
      <c r="F202" t="s" s="9">
        <v>1378</v>
      </c>
      <c r="G202" s="34">
        <f>=IF($U$189=1,$P$189,IF($U$188=1,$P$188,IF($U$187=1,$P$187,IF($U$186=1,$P$186,IF($U$185=1,$P$185,IF($U$184=1,$P$184,IF($U$183=1,$P$183,IF($U$182=1,$P$182,IF($U$181=1,$P$181,IF($U$180=1,$P$180,IF($U$179=1,$P$179,"")))))))))))</f>
      </c>
    </row>
    <row r="203" spans="1:26">
      <c r="A203" t="s" s="9">
        <v>1392</v>
      </c>
      <c r="B203" t="s" s="9">
        <v>14</v>
      </c>
      <c r="C203" s="41">
        <f>=IF(C195="","",C200+C201+C202)</f>
      </c>
      <c r="D203" s="43"/>
      <c r="E203" t="s" s="9">
        <v>1393</v>
      </c>
      <c r="F203" t="s" s="9">
        <v>1394</v>
      </c>
    </row>
    <row r="204" spans="1:26">
      <c r="A204" t="s" s="9">
        <v>1332</v>
      </c>
      <c r="B204" t="s" s="9">
        <v>14</v>
      </c>
      <c r="C204" s="41">
        <f>='01_ТТТ'!D6</f>
      </c>
      <c r="D204" s="43"/>
      <c r="E204" t="s" s="9">
        <v>1395</v>
      </c>
      <c r="F204" t="s" s="9">
        <v>1396</v>
      </c>
    </row>
    <row r="205" spans="1:26">
      <c r="A205" t="s" s="9">
        <v>1397</v>
      </c>
      <c r="B205" t="s" s="9">
        <v>14</v>
      </c>
      <c r="C205" s="41">
        <f>=IF(C203="","",C203+C204)</f>
      </c>
      <c r="D205" s="43"/>
      <c r="E205" t="s" s="9">
        <v>1398</v>
      </c>
      <c r="F205" t="s" s="9">
        <v>1399</v>
      </c>
    </row>
    <row r="206" spans="1:26">
      <c r="A206" t="s" s="9">
        <v>1400</v>
      </c>
      <c r="B206" t="s" s="9">
        <v>450</v>
      </c>
      <c r="C206" s="11">
        <f>=IF(C195="",0,1)</f>
      </c>
      <c r="D206" s="15"/>
      <c r="E206" t="s" s="9">
        <v>1346</v>
      </c>
      <c r="F206" t="s" s="9">
        <v>1401</v>
      </c>
    </row>
  </sheetData>
  <mergeCells count="2">
    <mergeCell ref="A1:F1"/>
    <mergeCell ref="A191:U19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B2A7-9659-41C6-8E1B-44743BEA7B44}">
  <dimension ref="A1:D19"/>
  <sheetViews>
    <sheetView tabSelected="0" workbookViewId="0"/>
  </sheetViews>
  <sheetFormatPr baseColWidth="10" defaultRowHeight="16" x14ac:dyDescent="0.2"/>
  <cols>
    <col max="4" min="4" width="30.7109375" customWidth="1"/>
    <col max="1" min="1" width="6.7109375" customWidth="1"/>
    <col max="2" min="2" width="74.7109375" customWidth="1"/>
    <col max="3" min="3" width="64.7109375" customWidth="1"/>
  </cols>
  <sheetData>
    <row r="1" spans="1:4" ht="28.2109375" customHeight="1">
      <c r="A1" t="s" s="3">
        <v>1402</v>
      </c>
      <c r="B1"/>
      <c r="C1"/>
      <c r="D1"/>
    </row>
    <row r="3" spans="1:4">
      <c r="A3" t="s" s="7">
        <v>790</v>
      </c>
      <c r="B3" t="s" s="7">
        <v>1403</v>
      </c>
      <c r="C3" t="s" s="7">
        <v>1404</v>
      </c>
      <c r="D3" t="s" s="7">
        <v>1405</v>
      </c>
    </row>
    <row r="4" spans="1:4">
      <c r="A4" t="n" s="9">
        <v>1</v>
      </c>
      <c r="B4" t="s" s="9">
        <v>1406</v>
      </c>
      <c r="C4" t="s" s="9">
        <v>1407</v>
      </c>
      <c r="D4" t="s" s="9">
        <v>1408</v>
      </c>
    </row>
    <row r="5" spans="1:4">
      <c r="A5" t="n" s="9">
        <v>2</v>
      </c>
      <c r="B5" t="s" s="9">
        <v>1409</v>
      </c>
      <c r="C5" t="s" s="9">
        <v>1410</v>
      </c>
      <c r="D5" t="s" s="9">
        <v>1408</v>
      </c>
    </row>
    <row r="6" spans="1:4">
      <c r="A6" t="n" s="9">
        <v>3</v>
      </c>
      <c r="B6" t="s" s="9">
        <v>1411</v>
      </c>
      <c r="C6" t="s" s="9">
        <v>1412</v>
      </c>
      <c r="D6" t="s" s="9">
        <v>1413</v>
      </c>
    </row>
    <row r="7" spans="1:4">
      <c r="A7" t="n" s="9">
        <v>4</v>
      </c>
      <c r="B7" t="s" s="9">
        <v>1414</v>
      </c>
      <c r="C7" t="s" s="9">
        <v>1415</v>
      </c>
      <c r="D7" t="s" s="9">
        <v>1416</v>
      </c>
    </row>
    <row r="8" spans="1:4">
      <c r="A8" t="n" s="9">
        <v>5</v>
      </c>
      <c r="B8" t="s" s="9">
        <v>1417</v>
      </c>
      <c r="C8" t="s" s="9">
        <v>1418</v>
      </c>
      <c r="D8" t="s" s="9">
        <v>1419</v>
      </c>
    </row>
    <row r="9" spans="1:4">
      <c r="A9" t="n" s="9">
        <v>6</v>
      </c>
      <c r="B9" t="s" s="9">
        <v>1420</v>
      </c>
      <c r="C9" t="s" s="9">
        <v>1421</v>
      </c>
      <c r="D9" t="s" s="9">
        <v>1422</v>
      </c>
    </row>
    <row r="10" spans="1:4">
      <c r="A10" t="n" s="9">
        <v>7</v>
      </c>
      <c r="B10" t="s" s="9">
        <v>1423</v>
      </c>
      <c r="C10" t="s" s="9">
        <v>1424</v>
      </c>
      <c r="D10" t="s" s="9">
        <v>1425</v>
      </c>
    </row>
    <row r="11" spans="1:4">
      <c r="A11" t="n" s="9">
        <v>8</v>
      </c>
      <c r="B11" t="s" s="9">
        <v>1426</v>
      </c>
      <c r="C11" t="s" s="9">
        <v>1427</v>
      </c>
      <c r="D11" t="s" s="9">
        <v>1428</v>
      </c>
    </row>
    <row r="12" spans="1:4">
      <c r="A12" t="n" s="9">
        <v>9</v>
      </c>
      <c r="B12" t="s" s="9">
        <v>1429</v>
      </c>
      <c r="C12" t="s" s="9">
        <v>1430</v>
      </c>
      <c r="D12" t="s" s="9">
        <v>1428</v>
      </c>
    </row>
    <row r="13" spans="1:4">
      <c r="A13" t="n" s="9">
        <v>10</v>
      </c>
      <c r="B13" t="s" s="9">
        <v>1431</v>
      </c>
      <c r="C13" t="s" s="9">
        <v>1432</v>
      </c>
      <c r="D13" t="s" s="9">
        <v>1433</v>
      </c>
    </row>
    <row r="14" spans="1:4">
      <c r="A14" t="n" s="9">
        <v>11</v>
      </c>
      <c r="B14" t="s" s="9">
        <v>1434</v>
      </c>
      <c r="C14" t="s" s="9">
        <v>1435</v>
      </c>
      <c r="D14" t="s" s="9">
        <v>1419</v>
      </c>
    </row>
    <row r="15" spans="1:4">
      <c r="A15" t="n" s="9">
        <v>12</v>
      </c>
      <c r="B15" t="s" s="9">
        <v>1436</v>
      </c>
      <c r="C15" t="s" s="9">
        <v>1437</v>
      </c>
      <c r="D15" t="s" s="9">
        <v>1438</v>
      </c>
    </row>
    <row r="16" spans="1:4">
      <c r="A16" t="n" s="9">
        <v>13</v>
      </c>
      <c r="B16" t="s" s="9">
        <v>1439</v>
      </c>
      <c r="C16" t="s" s="9">
        <v>1440</v>
      </c>
      <c r="D16" t="s" s="9">
        <v>1441</v>
      </c>
    </row>
    <row r="17" spans="1:4">
      <c r="A17" t="n" s="9">
        <v>14</v>
      </c>
      <c r="B17" t="s" s="9">
        <v>1442</v>
      </c>
      <c r="C17" t="s" s="9">
        <v>1443</v>
      </c>
      <c r="D17" t="s" s="9">
        <v>1441</v>
      </c>
    </row>
    <row r="18" spans="1:4">
      <c r="A18" t="n" s="9">
        <v>15</v>
      </c>
      <c r="B18" t="s" s="9">
        <v>1444</v>
      </c>
      <c r="C18" t="s" s="9">
        <v>1445</v>
      </c>
      <c r="D18" t="s" s="9">
        <v>1446</v>
      </c>
    </row>
    <row r="19" spans="1:4">
      <c r="A19" t="n" s="9">
        <v>16</v>
      </c>
      <c r="B19" t="s" s="9">
        <v>1447</v>
      </c>
      <c r="C19" t="s" s="9">
        <v>1448</v>
      </c>
      <c r="D19" t="s" s="9">
        <v>1446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00_Аналоги</vt:lpstr>
      <vt:lpstr>01_ТТТ</vt:lpstr>
      <vt:lpstr>02_Таблица_1_2</vt:lpstr>
      <vt:lpstr>02_Параметры</vt:lpstr>
      <vt:lpstr>03_Дальность</vt:lpstr>
      <vt:lpstr>04_Диаграмма</vt:lpstr>
      <vt:lpstr>05_Аэродинамика</vt:lpstr>
      <vt:lpstr>06_Масса_I</vt:lpstr>
      <vt:lpstr>07_p0_P0</vt:lpstr>
      <vt:lpstr>08_Масса_II</vt:lpstr>
      <vt:lpstr>90_Источники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2026-10-05T14:59:56Z</dcterms:created>
  <dcterms:modified xsi:type="dcterms:W3CDTF">2026-10-05T14:59:57Z</dcterms:modified>
</cp:coreProperties>
</file>